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4470" yWindow="945" windowWidth="20730" windowHeight="10920" tabRatio="764" firstSheet="2" activeTab="8"/>
  </bookViews>
  <sheets>
    <sheet name="Summary" sheetId="130" state="hidden" r:id="rId1"/>
    <sheet name="MeasureTable" sheetId="132" state="hidden" r:id="rId2"/>
    <sheet name="7PSourceSummary" sheetId="141" r:id="rId3"/>
    <sheet name="RPM" sheetId="142" r:id="rId4"/>
    <sheet name="SC-NR" sheetId="137" r:id="rId5"/>
    <sheet name="Accomplishments" sheetId="140" r:id="rId6"/>
    <sheet name="Bulb Weighting" sheetId="138" r:id="rId7"/>
    <sheet name="M_Input_Out" sheetId="139" r:id="rId8"/>
    <sheet name="M_Input" sheetId="104" r:id="rId9"/>
    <sheet name="LookupTable" sheetId="133" state="hidden" r:id="rId10"/>
    <sheet name="SavingsData&amp;Analysis" sheetId="136" r:id="rId11"/>
    <sheet name="ValidationLists" sheetId="131" state="hidden" r:id="rId12"/>
  </sheets>
  <externalReferences>
    <externalReference r:id="rId13"/>
    <externalReference r:id="rId14"/>
    <externalReference r:id="rId15"/>
  </externalReferences>
  <definedNames>
    <definedName name="_Key1" localSheetId="2" hidden="1">#REF!</definedName>
    <definedName name="_Key1" localSheetId="6" hidden="1">#REF!</definedName>
    <definedName name="_Key1" localSheetId="3" hidden="1">#REF!</definedName>
    <definedName name="_Key1" localSheetId="10" hidden="1">#REF!</definedName>
    <definedName name="_Key1" localSheetId="4" hidden="1">#REF!</definedName>
    <definedName name="_Key1" hidden="1">#REF!</definedName>
    <definedName name="_Order1" hidden="1">255</definedName>
    <definedName name="_Sort" localSheetId="2" hidden="1">#REF!</definedName>
    <definedName name="_Sort" localSheetId="6" hidden="1">#REF!</definedName>
    <definedName name="_Sort" localSheetId="3" hidden="1">#REF!</definedName>
    <definedName name="_Sort" localSheetId="10" hidden="1">#REF!</definedName>
    <definedName name="_Sort" localSheetId="4" hidden="1">#REF!</definedName>
    <definedName name="_Sort" hidden="1">#REF!</definedName>
    <definedName name="anscount" hidden="1">1</definedName>
    <definedName name="CBWorkbookPriority" hidden="1">-738590518</definedName>
    <definedName name="JUNK" localSheetId="2" hidden="1">#REF!</definedName>
    <definedName name="JUNK" localSheetId="6" hidden="1">#REF!</definedName>
    <definedName name="JUNK" localSheetId="3" hidden="1">#REF!</definedName>
    <definedName name="JUNK" localSheetId="4" hidden="1">#REF!</definedName>
    <definedName name="JUNK" hidden="1">#REF!</definedName>
    <definedName name="limcount" hidden="1">1</definedName>
    <definedName name="MeasureOutput">M_Input!$A$85:$AM$87</definedName>
    <definedName name="ResBase">'[1]Res Forecast (Base Case)'!$C$14:$BD$61</definedName>
    <definedName name="sencount" hidden="1">1</definedName>
    <definedName name="sort" localSheetId="2" hidden="1">#REF!</definedName>
    <definedName name="sort" localSheetId="6" hidden="1">#REF!</definedName>
    <definedName name="sort" localSheetId="3" hidden="1">#REF!</definedName>
    <definedName name="sort" localSheetId="4" hidden="1">#REF!</definedName>
    <definedName name="sort" hidden="1">#REF!</definedName>
  </definedNames>
  <calcPr calcId="125725"/>
</workbook>
</file>

<file path=xl/calcChain.xml><?xml version="1.0" encoding="utf-8"?>
<calcChain xmlns="http://schemas.openxmlformats.org/spreadsheetml/2006/main">
  <c r="D9" i="137"/>
  <c r="D8"/>
  <c r="C12" i="142"/>
  <c r="B4"/>
  <c r="B5"/>
  <c r="B6"/>
  <c r="B7"/>
  <c r="B8"/>
  <c r="B9"/>
  <c r="B10"/>
  <c r="B11"/>
  <c r="B12"/>
  <c r="B13"/>
  <c r="B14"/>
  <c r="B3"/>
  <c r="C13"/>
  <c r="J14"/>
  <c r="I14"/>
  <c r="J13"/>
  <c r="AK13" s="1"/>
  <c r="I13"/>
  <c r="J12"/>
  <c r="AJ12" s="1"/>
  <c r="I12"/>
  <c r="J11"/>
  <c r="F11" s="1"/>
  <c r="I11"/>
  <c r="J10"/>
  <c r="AV10" s="1"/>
  <c r="I10"/>
  <c r="J9"/>
  <c r="I9"/>
  <c r="J8"/>
  <c r="AZ8" s="1"/>
  <c r="I8"/>
  <c r="J7"/>
  <c r="AP7" s="1"/>
  <c r="I7"/>
  <c r="J6"/>
  <c r="AL6" s="1"/>
  <c r="I6"/>
  <c r="J5"/>
  <c r="BA5" s="1"/>
  <c r="I5"/>
  <c r="J4"/>
  <c r="I4"/>
  <c r="J3"/>
  <c r="F3" s="1"/>
  <c r="I3"/>
  <c r="A9" i="137"/>
  <c r="E3" i="142" s="1"/>
  <c r="C7"/>
  <c r="AV14"/>
  <c r="F14"/>
  <c r="F13"/>
  <c r="BA12"/>
  <c r="AZ12"/>
  <c r="BC10"/>
  <c r="AL10"/>
  <c r="AI10"/>
  <c r="AK9"/>
  <c r="AU8"/>
  <c r="F8"/>
  <c r="AV6"/>
  <c r="F6"/>
  <c r="AT5"/>
  <c r="AU5"/>
  <c r="AZ4"/>
  <c r="F4"/>
  <c r="AD2"/>
  <c r="AC2"/>
  <c r="AB2"/>
  <c r="AA2"/>
  <c r="Z2"/>
  <c r="Y2"/>
  <c r="X2"/>
  <c r="W2"/>
  <c r="V2"/>
  <c r="U2"/>
  <c r="T2"/>
  <c r="S2"/>
  <c r="R2"/>
  <c r="Q2"/>
  <c r="P2"/>
  <c r="O2"/>
  <c r="N2"/>
  <c r="M2"/>
  <c r="L2"/>
  <c r="K2"/>
  <c r="AO5" l="1"/>
  <c r="AH5"/>
  <c r="BB5"/>
  <c r="BB13"/>
  <c r="AF5"/>
  <c r="AW5"/>
  <c r="F7"/>
  <c r="F10"/>
  <c r="AL12"/>
  <c r="C11"/>
  <c r="C8"/>
  <c r="C4"/>
  <c r="C14"/>
  <c r="C10"/>
  <c r="C9"/>
  <c r="C5"/>
  <c r="C3"/>
  <c r="C6"/>
  <c r="E7"/>
  <c r="E13"/>
  <c r="E9"/>
  <c r="E8"/>
  <c r="E4"/>
  <c r="E14"/>
  <c r="E10"/>
  <c r="E5"/>
  <c r="E11"/>
  <c r="E6"/>
  <c r="E12"/>
  <c r="F5"/>
  <c r="AN5"/>
  <c r="AT3"/>
  <c r="AH3"/>
  <c r="AJ3"/>
  <c r="AY3"/>
  <c r="AW11"/>
  <c r="AY11"/>
  <c r="AH11"/>
  <c r="AW14"/>
  <c r="AN14"/>
  <c r="BA14"/>
  <c r="AP14"/>
  <c r="AF14"/>
  <c r="AY7"/>
  <c r="AH7"/>
  <c r="AW13"/>
  <c r="AT13"/>
  <c r="AU13"/>
  <c r="AF13"/>
  <c r="BA3"/>
  <c r="F9"/>
  <c r="BA9"/>
  <c r="AP11"/>
  <c r="AU14"/>
  <c r="AO3"/>
  <c r="AJ11"/>
  <c r="BA13"/>
  <c r="AL14"/>
  <c r="AW9"/>
  <c r="AT9"/>
  <c r="AU9"/>
  <c r="AF9"/>
  <c r="AW6"/>
  <c r="AN6"/>
  <c r="AP6"/>
  <c r="BA6"/>
  <c r="AF6"/>
  <c r="BA8"/>
  <c r="AJ8"/>
  <c r="AW10"/>
  <c r="AN10"/>
  <c r="BA10"/>
  <c r="AF10"/>
  <c r="AP10"/>
  <c r="AP3"/>
  <c r="AU6"/>
  <c r="AN9"/>
  <c r="AI6"/>
  <c r="BC6"/>
  <c r="AW7"/>
  <c r="BB9"/>
  <c r="AU10"/>
  <c r="AN13"/>
  <c r="AI14"/>
  <c r="BC14"/>
  <c r="F12"/>
  <c r="AU12"/>
  <c r="AK5"/>
  <c r="BD3"/>
  <c r="AZ3"/>
  <c r="AV3"/>
  <c r="AQ3"/>
  <c r="AM3"/>
  <c r="AI3"/>
  <c r="BC3"/>
  <c r="AX3"/>
  <c r="AS3"/>
  <c r="AL3"/>
  <c r="AG3"/>
  <c r="BB3"/>
  <c r="AU3"/>
  <c r="AN3"/>
  <c r="AF3"/>
  <c r="BD11"/>
  <c r="AZ11"/>
  <c r="AV11"/>
  <c r="AQ11"/>
  <c r="AM11"/>
  <c r="AI11"/>
  <c r="BC11"/>
  <c r="AX11"/>
  <c r="AS11"/>
  <c r="AL11"/>
  <c r="AG11"/>
  <c r="BB11"/>
  <c r="AU11"/>
  <c r="AN11"/>
  <c r="AF11"/>
  <c r="BA11"/>
  <c r="AT11"/>
  <c r="AK11"/>
  <c r="BB12"/>
  <c r="AX12"/>
  <c r="AT12"/>
  <c r="AO12"/>
  <c r="AK12"/>
  <c r="AG12"/>
  <c r="BD12"/>
  <c r="AY12"/>
  <c r="AS12"/>
  <c r="AM12"/>
  <c r="AH12"/>
  <c r="AW12"/>
  <c r="AP12"/>
  <c r="AI12"/>
  <c r="BC12"/>
  <c r="AV12"/>
  <c r="AN12"/>
  <c r="AF12"/>
  <c r="AJ4"/>
  <c r="BC4"/>
  <c r="AK3"/>
  <c r="AW3"/>
  <c r="AN4"/>
  <c r="AJ7"/>
  <c r="AL8"/>
  <c r="AO11"/>
  <c r="AQ12"/>
  <c r="BB4"/>
  <c r="AX4"/>
  <c r="AT4"/>
  <c r="AO4"/>
  <c r="AK4"/>
  <c r="AG4"/>
  <c r="BD4"/>
  <c r="AY4"/>
  <c r="AS4"/>
  <c r="AM4"/>
  <c r="AH4"/>
  <c r="AW4"/>
  <c r="AP4"/>
  <c r="AI4"/>
  <c r="BD7"/>
  <c r="AZ7"/>
  <c r="AV7"/>
  <c r="AQ7"/>
  <c r="AM7"/>
  <c r="AI7"/>
  <c r="BC7"/>
  <c r="AX7"/>
  <c r="AS7"/>
  <c r="AL7"/>
  <c r="AG7"/>
  <c r="BB7"/>
  <c r="AU7"/>
  <c r="AN7"/>
  <c r="AF7"/>
  <c r="BA7"/>
  <c r="AT7"/>
  <c r="AK7"/>
  <c r="BB8"/>
  <c r="AX8"/>
  <c r="AT8"/>
  <c r="AO8"/>
  <c r="AK8"/>
  <c r="AG8"/>
  <c r="BD8"/>
  <c r="AY8"/>
  <c r="AS8"/>
  <c r="AM8"/>
  <c r="AH8"/>
  <c r="AW8"/>
  <c r="AP8"/>
  <c r="AI8"/>
  <c r="BC8"/>
  <c r="AV8"/>
  <c r="AN8"/>
  <c r="AF8"/>
  <c r="AL4"/>
  <c r="AV4"/>
  <c r="AU4"/>
  <c r="AF4"/>
  <c r="AQ4"/>
  <c r="BA4"/>
  <c r="AO7"/>
  <c r="AQ8"/>
  <c r="BB6"/>
  <c r="AX6"/>
  <c r="AT6"/>
  <c r="AO6"/>
  <c r="AK6"/>
  <c r="AG6"/>
  <c r="BD6"/>
  <c r="AY6"/>
  <c r="AS6"/>
  <c r="AM6"/>
  <c r="AH6"/>
  <c r="BB10"/>
  <c r="AX10"/>
  <c r="AT10"/>
  <c r="AO10"/>
  <c r="AK10"/>
  <c r="AG10"/>
  <c r="BD10"/>
  <c r="AY10"/>
  <c r="AS10"/>
  <c r="AM10"/>
  <c r="AH10"/>
  <c r="BB14"/>
  <c r="AX14"/>
  <c r="AT14"/>
  <c r="AO14"/>
  <c r="AK14"/>
  <c r="AG14"/>
  <c r="BD14"/>
  <c r="AY14"/>
  <c r="AS14"/>
  <c r="AM14"/>
  <c r="AH14"/>
  <c r="AJ6"/>
  <c r="AQ6"/>
  <c r="AZ6"/>
  <c r="AH9"/>
  <c r="AO9"/>
  <c r="AJ10"/>
  <c r="AQ10"/>
  <c r="AZ10"/>
  <c r="AH13"/>
  <c r="AO13"/>
  <c r="AJ14"/>
  <c r="AQ14"/>
  <c r="AZ14"/>
  <c r="BD5"/>
  <c r="AZ5"/>
  <c r="AV5"/>
  <c r="AQ5"/>
  <c r="AM5"/>
  <c r="AI5"/>
  <c r="BC5"/>
  <c r="AX5"/>
  <c r="AS5"/>
  <c r="AL5"/>
  <c r="AG5"/>
  <c r="BD9"/>
  <c r="AZ9"/>
  <c r="AV9"/>
  <c r="AQ9"/>
  <c r="AM9"/>
  <c r="AI9"/>
  <c r="BC9"/>
  <c r="AX9"/>
  <c r="AS9"/>
  <c r="AL9"/>
  <c r="AG9"/>
  <c r="BD13"/>
  <c r="AZ13"/>
  <c r="AV13"/>
  <c r="AQ13"/>
  <c r="AM13"/>
  <c r="AI13"/>
  <c r="BC13"/>
  <c r="AX13"/>
  <c r="AS13"/>
  <c r="AL13"/>
  <c r="AG13"/>
  <c r="AJ5"/>
  <c r="AP5"/>
  <c r="AY5"/>
  <c r="AJ9"/>
  <c r="AP9"/>
  <c r="AY9"/>
  <c r="AJ13"/>
  <c r="AP13"/>
  <c r="AY13"/>
  <c r="R9" i="136" l="1"/>
  <c r="R8"/>
  <c r="V9"/>
  <c r="U9"/>
  <c r="T9"/>
  <c r="V8"/>
  <c r="U8"/>
  <c r="T8"/>
  <c r="V7"/>
  <c r="U7"/>
  <c r="T7"/>
  <c r="R7"/>
  <c r="P9"/>
  <c r="P8"/>
  <c r="P7"/>
  <c r="Q9"/>
  <c r="AG9" s="1"/>
  <c r="Q8"/>
  <c r="AG8" s="1"/>
  <c r="Q7"/>
  <c r="AG7" s="1"/>
  <c r="C4" i="138"/>
  <c r="C5"/>
  <c r="C6"/>
  <c r="C7"/>
  <c r="C8"/>
  <c r="C9"/>
  <c r="C10"/>
  <c r="C11"/>
  <c r="C12"/>
  <c r="C13"/>
  <c r="C14"/>
  <c r="C15"/>
  <c r="C16"/>
  <c r="C17"/>
  <c r="C3"/>
  <c r="C43" i="137" l="1"/>
  <c r="C44"/>
  <c r="C45"/>
  <c r="C46"/>
  <c r="B43"/>
  <c r="H26"/>
  <c r="G26"/>
  <c r="F26"/>
  <c r="E26"/>
  <c r="H25"/>
  <c r="G25"/>
  <c r="F25"/>
  <c r="E25"/>
  <c r="H24"/>
  <c r="G24"/>
  <c r="F24"/>
  <c r="E24"/>
  <c r="H23"/>
  <c r="G23"/>
  <c r="F23"/>
  <c r="E23"/>
  <c r="A81"/>
  <c r="G3" i="142" s="1"/>
  <c r="A89" i="137"/>
  <c r="G11" i="142" s="1"/>
  <c r="B89" i="137"/>
  <c r="H11" i="142" s="1"/>
  <c r="X175" i="137"/>
  <c r="W175"/>
  <c r="V175"/>
  <c r="U175"/>
  <c r="T175"/>
  <c r="S175"/>
  <c r="R175"/>
  <c r="Q175"/>
  <c r="P175"/>
  <c r="O175"/>
  <c r="N175"/>
  <c r="M175"/>
  <c r="L175"/>
  <c r="K175"/>
  <c r="J175"/>
  <c r="I175"/>
  <c r="H175"/>
  <c r="G175"/>
  <c r="F175"/>
  <c r="E175"/>
  <c r="D175"/>
  <c r="A174" s="1"/>
  <c r="R174"/>
  <c r="O174"/>
  <c r="J174"/>
  <c r="X136"/>
  <c r="W136"/>
  <c r="V136"/>
  <c r="U136"/>
  <c r="T136"/>
  <c r="S136"/>
  <c r="R136"/>
  <c r="Q136"/>
  <c r="P136"/>
  <c r="O136"/>
  <c r="N136"/>
  <c r="M136"/>
  <c r="L136"/>
  <c r="K136"/>
  <c r="J136"/>
  <c r="I136"/>
  <c r="H136"/>
  <c r="G136"/>
  <c r="F136"/>
  <c r="E136"/>
  <c r="D136"/>
  <c r="X135"/>
  <c r="X174" s="1"/>
  <c r="W135"/>
  <c r="W174" s="1"/>
  <c r="V135"/>
  <c r="V174" s="1"/>
  <c r="U135"/>
  <c r="U174" s="1"/>
  <c r="T135"/>
  <c r="T174" s="1"/>
  <c r="S135"/>
  <c r="S174" s="1"/>
  <c r="R135"/>
  <c r="Q135"/>
  <c r="Q174" s="1"/>
  <c r="P135"/>
  <c r="P174" s="1"/>
  <c r="O135"/>
  <c r="N135"/>
  <c r="N174" s="1"/>
  <c r="M135"/>
  <c r="M174" s="1"/>
  <c r="L135"/>
  <c r="L174" s="1"/>
  <c r="K135"/>
  <c r="K174" s="1"/>
  <c r="J135"/>
  <c r="I135"/>
  <c r="I174" s="1"/>
  <c r="H135"/>
  <c r="H174" s="1"/>
  <c r="G135"/>
  <c r="G174" s="1"/>
  <c r="F135"/>
  <c r="F174" s="1"/>
  <c r="E135"/>
  <c r="E174" s="1"/>
  <c r="D135"/>
  <c r="X99"/>
  <c r="W99"/>
  <c r="V99"/>
  <c r="U99"/>
  <c r="T99"/>
  <c r="S99"/>
  <c r="R99"/>
  <c r="Q99"/>
  <c r="P99"/>
  <c r="O99"/>
  <c r="N99"/>
  <c r="M99"/>
  <c r="L99"/>
  <c r="K99"/>
  <c r="J99"/>
  <c r="I99"/>
  <c r="H99"/>
  <c r="G99"/>
  <c r="F99"/>
  <c r="E99"/>
  <c r="X98"/>
  <c r="W98"/>
  <c r="V98"/>
  <c r="U98"/>
  <c r="T98"/>
  <c r="S98"/>
  <c r="R98"/>
  <c r="Q98"/>
  <c r="P98"/>
  <c r="O98"/>
  <c r="N98"/>
  <c r="M98"/>
  <c r="L98"/>
  <c r="K98"/>
  <c r="J98"/>
  <c r="I98"/>
  <c r="H98"/>
  <c r="G98"/>
  <c r="F98"/>
  <c r="E98"/>
  <c r="B92"/>
  <c r="H14" i="142" s="1"/>
  <c r="A92" i="137"/>
  <c r="G14" i="142" s="1"/>
  <c r="B91" i="137"/>
  <c r="H13" i="142" s="1"/>
  <c r="A91" i="137"/>
  <c r="G13" i="142" s="1"/>
  <c r="C90" i="137"/>
  <c r="B90"/>
  <c r="H12" i="142" s="1"/>
  <c r="A90" i="137"/>
  <c r="G12" i="142" s="1"/>
  <c r="B88" i="137"/>
  <c r="H10" i="142" s="1"/>
  <c r="A88" i="137"/>
  <c r="G10" i="142" s="1"/>
  <c r="C87" i="137"/>
  <c r="B87"/>
  <c r="H9" i="142" s="1"/>
  <c r="A87" i="137"/>
  <c r="G9" i="142" s="1"/>
  <c r="B86" i="137"/>
  <c r="H8" i="142" s="1"/>
  <c r="A86" i="137"/>
  <c r="G8" i="142" s="1"/>
  <c r="B85" i="137"/>
  <c r="H7" i="142" s="1"/>
  <c r="A85" i="137"/>
  <c r="G7" i="142" s="1"/>
  <c r="C84" i="137"/>
  <c r="B84"/>
  <c r="H6" i="142" s="1"/>
  <c r="A84" i="137"/>
  <c r="G6" i="142" s="1"/>
  <c r="B83" i="137"/>
  <c r="H5" i="142" s="1"/>
  <c r="A83" i="137"/>
  <c r="G5" i="142" s="1"/>
  <c r="B82" i="137"/>
  <c r="H4" i="142" s="1"/>
  <c r="A82" i="137"/>
  <c r="G4" i="142" s="1"/>
  <c r="C81" i="137"/>
  <c r="B81"/>
  <c r="H3" i="142" s="1"/>
  <c r="X80" i="137"/>
  <c r="W80"/>
  <c r="V80"/>
  <c r="U80"/>
  <c r="T80"/>
  <c r="S80"/>
  <c r="R80"/>
  <c r="Q80"/>
  <c r="P80"/>
  <c r="O80"/>
  <c r="N80"/>
  <c r="M80"/>
  <c r="L80"/>
  <c r="K80"/>
  <c r="J80"/>
  <c r="I80"/>
  <c r="H80"/>
  <c r="G80"/>
  <c r="F80"/>
  <c r="E80"/>
  <c r="X79"/>
  <c r="W79"/>
  <c r="V79"/>
  <c r="U79"/>
  <c r="T79"/>
  <c r="S79"/>
  <c r="R79"/>
  <c r="Q79"/>
  <c r="P79"/>
  <c r="O79"/>
  <c r="N79"/>
  <c r="M79"/>
  <c r="L79"/>
  <c r="K79"/>
  <c r="J79"/>
  <c r="I79"/>
  <c r="H79"/>
  <c r="G79"/>
  <c r="F79"/>
  <c r="E79"/>
  <c r="D69"/>
  <c r="D61"/>
  <c r="D70" s="1"/>
  <c r="D60"/>
  <c r="D54"/>
  <c r="B54" s="1"/>
  <c r="D51"/>
  <c r="B51" s="1"/>
  <c r="D50"/>
  <c r="D46"/>
  <c r="B46"/>
  <c r="D45"/>
  <c r="D44"/>
  <c r="D43"/>
  <c r="D42"/>
  <c r="C36"/>
  <c r="C35"/>
  <c r="C34"/>
  <c r="C33"/>
  <c r="C26"/>
  <c r="D63" s="1"/>
  <c r="D72" s="1"/>
  <c r="C25"/>
  <c r="D62" s="1"/>
  <c r="D71" s="1"/>
  <c r="C24"/>
  <c r="C23"/>
  <c r="X12"/>
  <c r="W12"/>
  <c r="V12"/>
  <c r="U12"/>
  <c r="T12"/>
  <c r="S12"/>
  <c r="R12"/>
  <c r="Q12"/>
  <c r="P12"/>
  <c r="O12"/>
  <c r="N12"/>
  <c r="M12"/>
  <c r="L12"/>
  <c r="K12"/>
  <c r="J12"/>
  <c r="I12"/>
  <c r="H12"/>
  <c r="G12"/>
  <c r="F12"/>
  <c r="E12"/>
  <c r="C9"/>
  <c r="F8" i="104"/>
  <c r="G8"/>
  <c r="H8"/>
  <c r="K8"/>
  <c r="L8"/>
  <c r="M8"/>
  <c r="N8"/>
  <c r="P8"/>
  <c r="Q8"/>
  <c r="R8"/>
  <c r="S8"/>
  <c r="T8"/>
  <c r="F9"/>
  <c r="G9"/>
  <c r="H9"/>
  <c r="K9"/>
  <c r="L9"/>
  <c r="M9"/>
  <c r="N9"/>
  <c r="P9"/>
  <c r="Q9"/>
  <c r="R9"/>
  <c r="S9"/>
  <c r="T9"/>
  <c r="F10"/>
  <c r="G10"/>
  <c r="H10"/>
  <c r="K10"/>
  <c r="L10"/>
  <c r="M10"/>
  <c r="N10"/>
  <c r="P10"/>
  <c r="Q10"/>
  <c r="R10"/>
  <c r="S10"/>
  <c r="T10"/>
  <c r="A8"/>
  <c r="AR9" i="136"/>
  <c r="A10" i="104" s="1"/>
  <c r="O9" i="136"/>
  <c r="AS9" s="1"/>
  <c r="B10" i="104" s="1"/>
  <c r="N9" i="136"/>
  <c r="M9"/>
  <c r="AR8"/>
  <c r="A9" i="104" s="1"/>
  <c r="O8" i="136"/>
  <c r="AS8" s="1"/>
  <c r="B9" i="104" s="1"/>
  <c r="N8" i="136"/>
  <c r="M8"/>
  <c r="AR7"/>
  <c r="O7"/>
  <c r="AS7" s="1"/>
  <c r="B8" i="104" s="1"/>
  <c r="N7" i="136"/>
  <c r="M7"/>
  <c r="D68" i="137" l="1"/>
  <c r="C19" i="138"/>
  <c r="Y8" i="136"/>
  <c r="AJ9"/>
  <c r="D53" i="137"/>
  <c r="B45"/>
  <c r="D52"/>
  <c r="B44"/>
  <c r="D59"/>
  <c r="Y7" i="136"/>
  <c r="Y9"/>
  <c r="AK9" s="1"/>
  <c r="AK8" l="1"/>
  <c r="AL9"/>
  <c r="AM9" s="1"/>
  <c r="AP9" s="1"/>
  <c r="AJ8"/>
  <c r="B52" i="137"/>
  <c r="B53"/>
  <c r="AK7" i="136"/>
  <c r="AJ7"/>
  <c r="AL8" l="1"/>
  <c r="AM8" s="1"/>
  <c r="AN8" s="1"/>
  <c r="AN9"/>
  <c r="AV9" s="1"/>
  <c r="E10" i="104" s="1"/>
  <c r="G28" i="137"/>
  <c r="O36"/>
  <c r="Q35"/>
  <c r="M34"/>
  <c r="O34"/>
  <c r="U36"/>
  <c r="P34"/>
  <c r="V36"/>
  <c r="R33"/>
  <c r="I35"/>
  <c r="P33"/>
  <c r="V35"/>
  <c r="M33"/>
  <c r="L34"/>
  <c r="R36"/>
  <c r="M35"/>
  <c r="O33"/>
  <c r="L35"/>
  <c r="W36"/>
  <c r="F28"/>
  <c r="N34"/>
  <c r="L36"/>
  <c r="J33"/>
  <c r="K33"/>
  <c r="U34"/>
  <c r="K36"/>
  <c r="H28"/>
  <c r="X33"/>
  <c r="S34"/>
  <c r="N35"/>
  <c r="I36"/>
  <c r="E28"/>
  <c r="U33"/>
  <c r="T34"/>
  <c r="O35"/>
  <c r="J36"/>
  <c r="R34"/>
  <c r="Q34"/>
  <c r="U35"/>
  <c r="X35"/>
  <c r="T33"/>
  <c r="J35"/>
  <c r="Q33"/>
  <c r="K35"/>
  <c r="I34"/>
  <c r="V33"/>
  <c r="P35"/>
  <c r="K34"/>
  <c r="Q36"/>
  <c r="W35"/>
  <c r="P36"/>
  <c r="W33"/>
  <c r="T35"/>
  <c r="N33"/>
  <c r="V34"/>
  <c r="T36"/>
  <c r="J34"/>
  <c r="X36"/>
  <c r="S33"/>
  <c r="S36"/>
  <c r="L33"/>
  <c r="W34"/>
  <c r="R35"/>
  <c r="M36"/>
  <c r="I33"/>
  <c r="X34"/>
  <c r="S35"/>
  <c r="N36"/>
  <c r="AL7" i="136"/>
  <c r="AM7" s="1"/>
  <c r="AT9" l="1"/>
  <c r="C10" i="104" s="1"/>
  <c r="AU9" i="136"/>
  <c r="D10" i="104" s="1"/>
  <c r="AP8" i="136"/>
  <c r="BF8" s="1"/>
  <c r="O9" i="104" s="1"/>
  <c r="BA8" i="136"/>
  <c r="J9" i="104" s="1"/>
  <c r="AZ8" i="136"/>
  <c r="I9" i="104" s="1"/>
  <c r="AV8" i="136"/>
  <c r="E9" i="104" s="1"/>
  <c r="AU8" i="136"/>
  <c r="D9" i="104" s="1"/>
  <c r="AT8" i="136"/>
  <c r="C9" i="104" s="1"/>
  <c r="BA9" i="136"/>
  <c r="J10" i="104" s="1"/>
  <c r="AZ9" i="136"/>
  <c r="I10" i="104" s="1"/>
  <c r="BF9" i="136"/>
  <c r="O10" i="104" s="1"/>
  <c r="I38" i="137"/>
  <c r="O38"/>
  <c r="X38"/>
  <c r="V38"/>
  <c r="Q38"/>
  <c r="W38"/>
  <c r="U38"/>
  <c r="J38"/>
  <c r="K38"/>
  <c r="R38"/>
  <c r="L38"/>
  <c r="P38"/>
  <c r="S38"/>
  <c r="N38"/>
  <c r="T38"/>
  <c r="M38"/>
  <c r="AN7" i="136"/>
  <c r="AP7"/>
  <c r="B9" i="132"/>
  <c r="C9" s="1"/>
  <c r="B8"/>
  <c r="I8" s="1"/>
  <c r="D1"/>
  <c r="E1"/>
  <c r="D57" i="130"/>
  <c r="D41"/>
  <c r="E35"/>
  <c r="B14"/>
  <c r="F1" i="132"/>
  <c r="G1"/>
  <c r="H1"/>
  <c r="I1"/>
  <c r="Q1"/>
  <c r="R1"/>
  <c r="S1"/>
  <c r="T1"/>
  <c r="U1"/>
  <c r="V1"/>
  <c r="W1"/>
  <c r="X1"/>
  <c r="U9" l="1"/>
  <c r="H9"/>
  <c r="G9"/>
  <c r="H8"/>
  <c r="X8"/>
  <c r="U8"/>
  <c r="R8"/>
  <c r="G8"/>
  <c r="E8"/>
  <c r="Q8"/>
  <c r="D8"/>
  <c r="W9"/>
  <c r="T9"/>
  <c r="W8"/>
  <c r="T8"/>
  <c r="S9"/>
  <c r="F8"/>
  <c r="D9"/>
  <c r="C8"/>
  <c r="B16" i="130" s="1"/>
  <c r="X9" i="132"/>
  <c r="V8"/>
  <c r="S8"/>
  <c r="AZ7" i="136"/>
  <c r="I8" i="104" s="1"/>
  <c r="BA7" i="136"/>
  <c r="J8" i="104" s="1"/>
  <c r="AT7" i="136"/>
  <c r="C8" i="104" s="1"/>
  <c r="AV7" i="136"/>
  <c r="E8" i="104" s="1"/>
  <c r="BF7" i="136"/>
  <c r="O8" i="104" s="1"/>
  <c r="AU7" i="136"/>
  <c r="D8" i="104" s="1"/>
  <c r="Q9" i="132"/>
  <c r="I9"/>
  <c r="E9"/>
  <c r="V9"/>
  <c r="R9"/>
  <c r="F9"/>
  <c r="N9"/>
  <c r="O9"/>
  <c r="L9"/>
  <c r="J9"/>
  <c r="J8"/>
  <c r="M9"/>
  <c r="K9"/>
  <c r="N8"/>
  <c r="O8"/>
  <c r="K8"/>
  <c r="M8"/>
  <c r="L8"/>
  <c r="P9" l="1"/>
  <c r="P8"/>
  <c r="O1" i="104" l="1"/>
  <c r="L59" i="137" l="1"/>
  <c r="P59"/>
  <c r="T59"/>
  <c r="X59"/>
  <c r="F59"/>
  <c r="K59"/>
  <c r="O59"/>
  <c r="S59"/>
  <c r="W59"/>
  <c r="G59"/>
  <c r="J59"/>
  <c r="N59"/>
  <c r="R59"/>
  <c r="V59"/>
  <c r="H59"/>
  <c r="M59"/>
  <c r="Q59"/>
  <c r="U59"/>
  <c r="I59"/>
  <c r="E59"/>
  <c r="A13" i="142"/>
  <c r="A12"/>
  <c r="A7"/>
  <c r="A6"/>
  <c r="A8"/>
  <c r="A14"/>
  <c r="A9"/>
  <c r="A3"/>
  <c r="A11"/>
  <c r="A4"/>
  <c r="A10"/>
  <c r="A5"/>
  <c r="G15" i="137" l="1"/>
  <c r="H15"/>
  <c r="F15"/>
  <c r="E15"/>
  <c r="G13"/>
  <c r="F14"/>
  <c r="H16"/>
  <c r="H14"/>
  <c r="E14"/>
  <c r="H13"/>
  <c r="G16"/>
  <c r="G14"/>
  <c r="F16"/>
  <c r="E13"/>
  <c r="E16"/>
  <c r="F13"/>
  <c r="F36" l="1"/>
  <c r="G35"/>
  <c r="H18"/>
  <c r="H33"/>
  <c r="F34"/>
  <c r="H35"/>
  <c r="E36"/>
  <c r="G36"/>
  <c r="H36"/>
  <c r="F35"/>
  <c r="E34"/>
  <c r="G18"/>
  <c r="G33"/>
  <c r="E18"/>
  <c r="E33"/>
  <c r="F18"/>
  <c r="F33"/>
  <c r="G34"/>
  <c r="H34"/>
  <c r="E35"/>
  <c r="E38" l="1"/>
  <c r="G38"/>
  <c r="H38"/>
  <c r="F38"/>
  <c r="A43" l="1"/>
  <c r="A44"/>
  <c r="A45"/>
  <c r="A46"/>
  <c r="A54" l="1"/>
  <c r="W46"/>
  <c r="K46"/>
  <c r="S46"/>
  <c r="O46"/>
  <c r="N46"/>
  <c r="V46"/>
  <c r="R46"/>
  <c r="Q46"/>
  <c r="Z36"/>
  <c r="P46"/>
  <c r="T46"/>
  <c r="X46"/>
  <c r="M46"/>
  <c r="L46"/>
  <c r="I46"/>
  <c r="U46"/>
  <c r="J46"/>
  <c r="F46"/>
  <c r="Z46"/>
  <c r="G46"/>
  <c r="H46"/>
  <c r="E46"/>
  <c r="S45"/>
  <c r="N45"/>
  <c r="V45"/>
  <c r="I45"/>
  <c r="R45"/>
  <c r="W45"/>
  <c r="M45"/>
  <c r="J45"/>
  <c r="Z35"/>
  <c r="U45"/>
  <c r="T45"/>
  <c r="K45"/>
  <c r="Q45"/>
  <c r="X45"/>
  <c r="L45"/>
  <c r="P45"/>
  <c r="O45"/>
  <c r="G45"/>
  <c r="Z45"/>
  <c r="H45"/>
  <c r="F45"/>
  <c r="E45"/>
  <c r="A53"/>
  <c r="A52"/>
  <c r="T44"/>
  <c r="O44"/>
  <c r="K44"/>
  <c r="M44"/>
  <c r="P44"/>
  <c r="L44"/>
  <c r="N44"/>
  <c r="V44"/>
  <c r="Z34"/>
  <c r="J44"/>
  <c r="X44"/>
  <c r="R44"/>
  <c r="U44"/>
  <c r="W44"/>
  <c r="S44"/>
  <c r="Q44"/>
  <c r="I44"/>
  <c r="F44"/>
  <c r="H44"/>
  <c r="G44"/>
  <c r="Z44"/>
  <c r="E44"/>
  <c r="N43"/>
  <c r="W43"/>
  <c r="L43"/>
  <c r="X43"/>
  <c r="Z33"/>
  <c r="I43"/>
  <c r="U43"/>
  <c r="U48" s="1"/>
  <c r="M43"/>
  <c r="K43"/>
  <c r="J43"/>
  <c r="T43"/>
  <c r="V43"/>
  <c r="O43"/>
  <c r="R43"/>
  <c r="S43"/>
  <c r="P43"/>
  <c r="Q43"/>
  <c r="H43"/>
  <c r="Z43"/>
  <c r="G43"/>
  <c r="E43"/>
  <c r="F43"/>
  <c r="A51"/>
  <c r="Z54" l="1"/>
  <c r="Y92" s="1"/>
  <c r="AE14" i="142" s="1"/>
  <c r="O54" i="137"/>
  <c r="V54"/>
  <c r="K54"/>
  <c r="J54"/>
  <c r="J63" s="1"/>
  <c r="E54"/>
  <c r="E63" s="1"/>
  <c r="Q54"/>
  <c r="X54"/>
  <c r="W54"/>
  <c r="W63" s="1"/>
  <c r="T54"/>
  <c r="T63" s="1"/>
  <c r="R54"/>
  <c r="M54"/>
  <c r="G54"/>
  <c r="G63" s="1"/>
  <c r="L54"/>
  <c r="L63" s="1"/>
  <c r="F54"/>
  <c r="P54"/>
  <c r="S54"/>
  <c r="U54"/>
  <c r="U63" s="1"/>
  <c r="I54"/>
  <c r="H54"/>
  <c r="N54"/>
  <c r="N63" s="1"/>
  <c r="F63"/>
  <c r="P63"/>
  <c r="V63"/>
  <c r="V90" s="1"/>
  <c r="AB12" i="142" s="1"/>
  <c r="X63" i="137"/>
  <c r="Q63"/>
  <c r="Q90" s="1"/>
  <c r="W12" i="142" s="1"/>
  <c r="O63" i="137"/>
  <c r="O90" s="1"/>
  <c r="U12" i="142" s="1"/>
  <c r="K63" i="137"/>
  <c r="K90" s="1"/>
  <c r="Q12" i="142" s="1"/>
  <c r="I63" i="137"/>
  <c r="I90" s="1"/>
  <c r="O12" i="142" s="1"/>
  <c r="R63" i="137"/>
  <c r="S63"/>
  <c r="S92" s="1"/>
  <c r="Y14" i="142" s="1"/>
  <c r="K48" i="137"/>
  <c r="H63"/>
  <c r="M63"/>
  <c r="M91" s="1"/>
  <c r="S13" i="142" s="1"/>
  <c r="V91" i="137"/>
  <c r="AB13" i="142" s="1"/>
  <c r="Y90" i="137"/>
  <c r="AE12" i="142" s="1"/>
  <c r="I92" i="137"/>
  <c r="O14" i="142" s="1"/>
  <c r="R90" i="137"/>
  <c r="X12" i="142" s="1"/>
  <c r="R92" i="137"/>
  <c r="X14" i="142" s="1"/>
  <c r="R91" i="137"/>
  <c r="X13" i="142" s="1"/>
  <c r="S90" i="137"/>
  <c r="Y12" i="142" s="1"/>
  <c r="T48" i="137"/>
  <c r="H91"/>
  <c r="N13" i="142" s="1"/>
  <c r="H90" i="137"/>
  <c r="N12" i="142" s="1"/>
  <c r="H92" i="137"/>
  <c r="N14" i="142" s="1"/>
  <c r="M92" i="137"/>
  <c r="S14" i="142" s="1"/>
  <c r="F92" i="137"/>
  <c r="L14" i="142" s="1"/>
  <c r="F91" i="137"/>
  <c r="L13" i="142" s="1"/>
  <c r="F90" i="137"/>
  <c r="L12" i="142" s="1"/>
  <c r="P91" i="137"/>
  <c r="V13" i="142" s="1"/>
  <c r="P92" i="137"/>
  <c r="V14" i="142" s="1"/>
  <c r="P90" i="137"/>
  <c r="V12" i="142" s="1"/>
  <c r="K91" i="137"/>
  <c r="Q13" i="142" s="1"/>
  <c r="X90" i="137"/>
  <c r="AD12" i="142" s="1"/>
  <c r="X91" i="137"/>
  <c r="AD13" i="142" s="1"/>
  <c r="X92" i="137"/>
  <c r="AD14" i="142" s="1"/>
  <c r="Q91" i="137"/>
  <c r="W13" i="142" s="1"/>
  <c r="O91" i="137"/>
  <c r="U13" i="142" s="1"/>
  <c r="N48" i="137"/>
  <c r="R48"/>
  <c r="X48"/>
  <c r="Q53"/>
  <c r="Q62" s="1"/>
  <c r="L53"/>
  <c r="L62" s="1"/>
  <c r="O53"/>
  <c r="O62" s="1"/>
  <c r="X53"/>
  <c r="X62" s="1"/>
  <c r="E53"/>
  <c r="E62" s="1"/>
  <c r="F53"/>
  <c r="F62" s="1"/>
  <c r="T53"/>
  <c r="T62" s="1"/>
  <c r="I53"/>
  <c r="I62" s="1"/>
  <c r="K53"/>
  <c r="K62" s="1"/>
  <c r="R53"/>
  <c r="R62" s="1"/>
  <c r="Z53"/>
  <c r="V53"/>
  <c r="V62" s="1"/>
  <c r="G53"/>
  <c r="G62" s="1"/>
  <c r="U53"/>
  <c r="U62" s="1"/>
  <c r="H53"/>
  <c r="H62" s="1"/>
  <c r="M53"/>
  <c r="M62" s="1"/>
  <c r="N53"/>
  <c r="N62" s="1"/>
  <c r="P53"/>
  <c r="P62" s="1"/>
  <c r="S53"/>
  <c r="S62" s="1"/>
  <c r="J53"/>
  <c r="J62" s="1"/>
  <c r="W53"/>
  <c r="W62" s="1"/>
  <c r="E48"/>
  <c r="O48"/>
  <c r="F48"/>
  <c r="H48"/>
  <c r="J48"/>
  <c r="W48"/>
  <c r="O52"/>
  <c r="O61" s="1"/>
  <c r="P52"/>
  <c r="P61" s="1"/>
  <c r="E52"/>
  <c r="K52"/>
  <c r="K61" s="1"/>
  <c r="I52"/>
  <c r="I61" s="1"/>
  <c r="H52"/>
  <c r="H61" s="1"/>
  <c r="U52"/>
  <c r="U61" s="1"/>
  <c r="R52"/>
  <c r="R61" s="1"/>
  <c r="J52"/>
  <c r="J61" s="1"/>
  <c r="S52"/>
  <c r="S61" s="1"/>
  <c r="T52"/>
  <c r="T61" s="1"/>
  <c r="Q52"/>
  <c r="Q61" s="1"/>
  <c r="W52"/>
  <c r="W61" s="1"/>
  <c r="W84" s="1"/>
  <c r="AC6" i="142" s="1"/>
  <c r="X52" i="137"/>
  <c r="X61" s="1"/>
  <c r="M52"/>
  <c r="M61" s="1"/>
  <c r="N52"/>
  <c r="N61" s="1"/>
  <c r="G52"/>
  <c r="G61" s="1"/>
  <c r="G86" s="1"/>
  <c r="M8" i="142" s="1"/>
  <c r="Z52" i="137"/>
  <c r="Y86" s="1"/>
  <c r="AE8" i="142" s="1"/>
  <c r="L52" i="137"/>
  <c r="L61" s="1"/>
  <c r="F52"/>
  <c r="F61" s="1"/>
  <c r="V52"/>
  <c r="V61" s="1"/>
  <c r="V84" s="1"/>
  <c r="AB6" i="142" s="1"/>
  <c r="E61" i="137"/>
  <c r="E85" s="1"/>
  <c r="S48"/>
  <c r="L48"/>
  <c r="Q48"/>
  <c r="G48"/>
  <c r="V48"/>
  <c r="M48"/>
  <c r="P48"/>
  <c r="Z38"/>
  <c r="I48"/>
  <c r="Z51"/>
  <c r="E51"/>
  <c r="O51"/>
  <c r="J51"/>
  <c r="U51"/>
  <c r="P51"/>
  <c r="K51"/>
  <c r="X51"/>
  <c r="W51"/>
  <c r="I51"/>
  <c r="G51"/>
  <c r="Q51"/>
  <c r="R51"/>
  <c r="T51"/>
  <c r="V51"/>
  <c r="S51"/>
  <c r="M51"/>
  <c r="N51"/>
  <c r="F51"/>
  <c r="H51"/>
  <c r="L51"/>
  <c r="E92" l="1"/>
  <c r="E72"/>
  <c r="F72" s="1"/>
  <c r="G72" s="1"/>
  <c r="H72" s="1"/>
  <c r="I72" s="1"/>
  <c r="J72" s="1"/>
  <c r="K72" s="1"/>
  <c r="L72" s="1"/>
  <c r="M72" s="1"/>
  <c r="N72" s="1"/>
  <c r="O72" s="1"/>
  <c r="P72" s="1"/>
  <c r="Q72" s="1"/>
  <c r="R72" s="1"/>
  <c r="S72" s="1"/>
  <c r="T72" s="1"/>
  <c r="U72" s="1"/>
  <c r="V72" s="1"/>
  <c r="W72" s="1"/>
  <c r="X72" s="1"/>
  <c r="E90"/>
  <c r="E91"/>
  <c r="N90"/>
  <c r="T12" i="142" s="1"/>
  <c r="N91" i="137"/>
  <c r="T13" i="142" s="1"/>
  <c r="N92" i="137"/>
  <c r="T14" i="142" s="1"/>
  <c r="G91" i="137"/>
  <c r="M13" i="142" s="1"/>
  <c r="G92" i="137"/>
  <c r="M14" i="142" s="1"/>
  <c r="G90" i="137"/>
  <c r="M12" i="142" s="1"/>
  <c r="W91" i="137"/>
  <c r="AC13" i="142" s="1"/>
  <c r="W90" i="137"/>
  <c r="AC12" i="142" s="1"/>
  <c r="W92" i="137"/>
  <c r="AC14" i="142" s="1"/>
  <c r="J92" i="137"/>
  <c r="P14" i="142" s="1"/>
  <c r="J91" i="137"/>
  <c r="P13" i="142" s="1"/>
  <c r="J90" i="137"/>
  <c r="P12" i="142" s="1"/>
  <c r="U92" i="137"/>
  <c r="AA14" i="142" s="1"/>
  <c r="U90" i="137"/>
  <c r="AA12" i="142" s="1"/>
  <c r="U91" i="137"/>
  <c r="AA13" i="142" s="1"/>
  <c r="L92" i="137"/>
  <c r="R14" i="142" s="1"/>
  <c r="L91" i="137"/>
  <c r="R13" i="142" s="1"/>
  <c r="L90" i="137"/>
  <c r="R12" i="142" s="1"/>
  <c r="T91" i="137"/>
  <c r="Z13" i="142" s="1"/>
  <c r="T92" i="137"/>
  <c r="Z14" i="142" s="1"/>
  <c r="T90" i="137"/>
  <c r="Z12" i="142" s="1"/>
  <c r="S91" i="137"/>
  <c r="Y13" i="142" s="1"/>
  <c r="Y91" i="137"/>
  <c r="AE13" i="142" s="1"/>
  <c r="O92" i="137"/>
  <c r="U14" i="142" s="1"/>
  <c r="Q92" i="137"/>
  <c r="W14" i="142" s="1"/>
  <c r="K92" i="137"/>
  <c r="Q14" i="142" s="1"/>
  <c r="M90" i="137"/>
  <c r="S12" i="142" s="1"/>
  <c r="I91" i="137"/>
  <c r="O13" i="142" s="1"/>
  <c r="V92" i="137"/>
  <c r="AB14" i="142" s="1"/>
  <c r="K13"/>
  <c r="K12"/>
  <c r="I85" i="137"/>
  <c r="O7" i="142" s="1"/>
  <c r="I84" i="137"/>
  <c r="O6" i="142" s="1"/>
  <c r="Y85" i="137"/>
  <c r="AE7" i="142" s="1"/>
  <c r="H86" i="137"/>
  <c r="N8" i="142" s="1"/>
  <c r="H85" i="137"/>
  <c r="N7" i="142" s="1"/>
  <c r="H84" i="137"/>
  <c r="N6" i="142" s="1"/>
  <c r="P85" i="137"/>
  <c r="V7" i="142" s="1"/>
  <c r="P84" i="137"/>
  <c r="V6" i="142" s="1"/>
  <c r="Y84" i="137"/>
  <c r="AE6" i="142" s="1"/>
  <c r="F86" i="137"/>
  <c r="L8" i="142" s="1"/>
  <c r="F85" i="137"/>
  <c r="L7" i="142" s="1"/>
  <c r="J85" i="137"/>
  <c r="P7" i="142" s="1"/>
  <c r="J84" i="137"/>
  <c r="P6" i="142" s="1"/>
  <c r="J86" i="137"/>
  <c r="P8" i="142" s="1"/>
  <c r="K84" i="137"/>
  <c r="Q6" i="142" s="1"/>
  <c r="K86" i="137"/>
  <c r="Q8" i="142" s="1"/>
  <c r="S86" i="137"/>
  <c r="Y8" i="142" s="1"/>
  <c r="S85" i="137"/>
  <c r="Y7" i="142" s="1"/>
  <c r="W89" i="137"/>
  <c r="AC11" i="142" s="1"/>
  <c r="W88" i="137"/>
  <c r="AC10" i="142" s="1"/>
  <c r="W87" i="137"/>
  <c r="AC9" i="142" s="1"/>
  <c r="G87" i="137"/>
  <c r="M9" i="142" s="1"/>
  <c r="G89" i="137"/>
  <c r="M11" i="142" s="1"/>
  <c r="G88" i="137"/>
  <c r="M10" i="142" s="1"/>
  <c r="Q89" i="137"/>
  <c r="W11" i="142" s="1"/>
  <c r="Q87" i="137"/>
  <c r="W9" i="142" s="1"/>
  <c r="Q88" i="137"/>
  <c r="W10" i="142" s="1"/>
  <c r="P88" i="137"/>
  <c r="V10" i="142" s="1"/>
  <c r="P89" i="137"/>
  <c r="V11" i="142" s="1"/>
  <c r="P87" i="137"/>
  <c r="V9" i="142" s="1"/>
  <c r="U88" i="137"/>
  <c r="AA10" i="142" s="1"/>
  <c r="U87" i="137"/>
  <c r="AA9" i="142" s="1"/>
  <c r="U89" i="137"/>
  <c r="AA11" i="142" s="1"/>
  <c r="R89" i="137"/>
  <c r="X11" i="142" s="1"/>
  <c r="R87" i="137"/>
  <c r="X9" i="142" s="1"/>
  <c r="R88" i="137"/>
  <c r="X10" i="142" s="1"/>
  <c r="F89" i="137"/>
  <c r="L11" i="142" s="1"/>
  <c r="F88" i="137"/>
  <c r="L10" i="142" s="1"/>
  <c r="F87" i="137"/>
  <c r="L9" i="142" s="1"/>
  <c r="S88" i="137"/>
  <c r="Y10" i="142" s="1"/>
  <c r="S87" i="137"/>
  <c r="Y9" i="142" s="1"/>
  <c r="S89" i="137"/>
  <c r="Y11" i="142" s="1"/>
  <c r="H88" i="137"/>
  <c r="N10" i="142" s="1"/>
  <c r="H89" i="137"/>
  <c r="N11" i="142" s="1"/>
  <c r="H87" i="137"/>
  <c r="N9" i="142" s="1"/>
  <c r="Y89" i="137"/>
  <c r="AE11" i="142" s="1"/>
  <c r="Y87" i="137"/>
  <c r="AE9" i="142" s="1"/>
  <c r="Y88" i="137"/>
  <c r="AE10" i="142" s="1"/>
  <c r="T87" i="137"/>
  <c r="Z9" i="142" s="1"/>
  <c r="T88" i="137"/>
  <c r="Z10" i="142" s="1"/>
  <c r="T89" i="137"/>
  <c r="Z11" i="142" s="1"/>
  <c r="O88" i="137"/>
  <c r="U10" i="142" s="1"/>
  <c r="O87" i="137"/>
  <c r="U9" i="142" s="1"/>
  <c r="O89" i="137"/>
  <c r="U11" i="142" s="1"/>
  <c r="E70" i="137"/>
  <c r="F70" s="1"/>
  <c r="G70" s="1"/>
  <c r="H70" s="1"/>
  <c r="I70" s="1"/>
  <c r="J70" s="1"/>
  <c r="K70" s="1"/>
  <c r="L70" s="1"/>
  <c r="M70" s="1"/>
  <c r="N70" s="1"/>
  <c r="O70" s="1"/>
  <c r="P70" s="1"/>
  <c r="Q70" s="1"/>
  <c r="R70" s="1"/>
  <c r="S70" s="1"/>
  <c r="T70" s="1"/>
  <c r="U70" s="1"/>
  <c r="V70" s="1"/>
  <c r="W70" s="1"/>
  <c r="X70" s="1"/>
  <c r="V85"/>
  <c r="AB7" i="142" s="1"/>
  <c r="I86" i="137"/>
  <c r="O8" i="142" s="1"/>
  <c r="N89" i="137"/>
  <c r="T11" i="142" s="1"/>
  <c r="N88" i="137"/>
  <c r="T10" i="142" s="1"/>
  <c r="N87" i="137"/>
  <c r="T9" i="142" s="1"/>
  <c r="K87" i="137"/>
  <c r="Q9" i="142" s="1"/>
  <c r="K89" i="137"/>
  <c r="Q11" i="142" s="1"/>
  <c r="K88" i="137"/>
  <c r="Q10" i="142" s="1"/>
  <c r="E87" i="137"/>
  <c r="E88"/>
  <c r="E71"/>
  <c r="F71" s="1"/>
  <c r="G71" s="1"/>
  <c r="H71" s="1"/>
  <c r="I71" s="1"/>
  <c r="J71" s="1"/>
  <c r="K71" s="1"/>
  <c r="L71" s="1"/>
  <c r="M71" s="1"/>
  <c r="N71" s="1"/>
  <c r="O71" s="1"/>
  <c r="P71" s="1"/>
  <c r="Q71" s="1"/>
  <c r="R71" s="1"/>
  <c r="S71" s="1"/>
  <c r="T71" s="1"/>
  <c r="U71" s="1"/>
  <c r="V71" s="1"/>
  <c r="W71" s="1"/>
  <c r="X71" s="1"/>
  <c r="E89"/>
  <c r="L88"/>
  <c r="R10" i="142" s="1"/>
  <c r="L87" i="137"/>
  <c r="R9" i="142" s="1"/>
  <c r="L89" i="137"/>
  <c r="R11" i="142" s="1"/>
  <c r="J89" i="137"/>
  <c r="P11" i="142" s="1"/>
  <c r="J88" i="137"/>
  <c r="P10" i="142" s="1"/>
  <c r="J87" i="137"/>
  <c r="P9" i="142" s="1"/>
  <c r="M87" i="137"/>
  <c r="S9" i="142" s="1"/>
  <c r="M89" i="137"/>
  <c r="S11" i="142" s="1"/>
  <c r="M88" i="137"/>
  <c r="S10" i="142" s="1"/>
  <c r="V89" i="137"/>
  <c r="AB11" i="142" s="1"/>
  <c r="V87" i="137"/>
  <c r="AB9" i="142" s="1"/>
  <c r="V88" i="137"/>
  <c r="AB10" i="142" s="1"/>
  <c r="I89" i="137"/>
  <c r="O11" i="142" s="1"/>
  <c r="I87" i="137"/>
  <c r="O9" i="142" s="1"/>
  <c r="I88" i="137"/>
  <c r="O10" i="142" s="1"/>
  <c r="X89" i="137"/>
  <c r="AD11" i="142" s="1"/>
  <c r="X88" i="137"/>
  <c r="AD10" i="142" s="1"/>
  <c r="X87" i="137"/>
  <c r="AD9" i="142" s="1"/>
  <c r="G84" i="137"/>
  <c r="M6" i="142" s="1"/>
  <c r="W86" i="137"/>
  <c r="AC8" i="142" s="1"/>
  <c r="O85" i="137"/>
  <c r="U7" i="142" s="1"/>
  <c r="O86" i="137"/>
  <c r="U8" i="142" s="1"/>
  <c r="O84" i="137"/>
  <c r="U6" i="142" s="1"/>
  <c r="X85" i="137"/>
  <c r="AD7" i="142" s="1"/>
  <c r="X86" i="137"/>
  <c r="AD8" i="142" s="1"/>
  <c r="X84" i="137"/>
  <c r="AD6" i="142" s="1"/>
  <c r="L86" i="137"/>
  <c r="R8" i="142" s="1"/>
  <c r="L85" i="137"/>
  <c r="R7" i="142" s="1"/>
  <c r="L84" i="137"/>
  <c r="R6" i="142" s="1"/>
  <c r="M84" i="137"/>
  <c r="S6" i="142" s="1"/>
  <c r="M85" i="137"/>
  <c r="S7" i="142" s="1"/>
  <c r="M86" i="137"/>
  <c r="S8" i="142" s="1"/>
  <c r="T84" i="137"/>
  <c r="Z6" i="142" s="1"/>
  <c r="T85" i="137"/>
  <c r="Z7" i="142" s="1"/>
  <c r="T86" i="137"/>
  <c r="Z8" i="142" s="1"/>
  <c r="U86" i="137"/>
  <c r="AA8" i="142" s="1"/>
  <c r="U85" i="137"/>
  <c r="AA7" i="142" s="1"/>
  <c r="U84" i="137"/>
  <c r="AA6" i="142" s="1"/>
  <c r="N84" i="137"/>
  <c r="T6" i="142" s="1"/>
  <c r="N86" i="137"/>
  <c r="T8" i="142" s="1"/>
  <c r="N85" i="137"/>
  <c r="T7" i="142" s="1"/>
  <c r="Q86" i="137"/>
  <c r="W8" i="142" s="1"/>
  <c r="Q84" i="137"/>
  <c r="W6" i="142" s="1"/>
  <c r="Q85" i="137"/>
  <c r="W7" i="142" s="1"/>
  <c r="R84" i="137"/>
  <c r="X6" i="142" s="1"/>
  <c r="R86" i="137"/>
  <c r="X8" i="142" s="1"/>
  <c r="R85" i="137"/>
  <c r="X7" i="142" s="1"/>
  <c r="V86" i="137"/>
  <c r="AB8" i="142" s="1"/>
  <c r="G85" i="137"/>
  <c r="M7" i="142" s="1"/>
  <c r="K85" i="137"/>
  <c r="Q7" i="142" s="1"/>
  <c r="S84" i="137"/>
  <c r="Y6" i="142" s="1"/>
  <c r="W85" i="137"/>
  <c r="AC7" i="142" s="1"/>
  <c r="F84" i="137"/>
  <c r="L6" i="142" s="1"/>
  <c r="E84" i="137"/>
  <c r="K6" i="142" s="1"/>
  <c r="P86" i="137"/>
  <c r="V8" i="142" s="1"/>
  <c r="E86" i="137"/>
  <c r="K8" i="142" s="1"/>
  <c r="Z48" i="137"/>
  <c r="K7" i="142"/>
  <c r="N56" i="137"/>
  <c r="N60"/>
  <c r="I56"/>
  <c r="I60"/>
  <c r="P56"/>
  <c r="P60"/>
  <c r="E56"/>
  <c r="E60"/>
  <c r="F56"/>
  <c r="F60"/>
  <c r="V56"/>
  <c r="V60"/>
  <c r="G56"/>
  <c r="G60"/>
  <c r="K56"/>
  <c r="K60"/>
  <c r="O56"/>
  <c r="O60"/>
  <c r="H56"/>
  <c r="H60"/>
  <c r="S56"/>
  <c r="S60"/>
  <c r="Q56"/>
  <c r="Q60"/>
  <c r="X56"/>
  <c r="X60"/>
  <c r="J56"/>
  <c r="J60"/>
  <c r="L56"/>
  <c r="L60"/>
  <c r="M56"/>
  <c r="M60"/>
  <c r="R56"/>
  <c r="R60"/>
  <c r="W56"/>
  <c r="W60"/>
  <c r="U56"/>
  <c r="U60"/>
  <c r="Y82"/>
  <c r="AE4" i="142" s="1"/>
  <c r="Y81" i="137"/>
  <c r="Y83"/>
  <c r="AE5" i="142" s="1"/>
  <c r="T56" i="137"/>
  <c r="T60"/>
  <c r="AA92" l="1"/>
  <c r="AA90"/>
  <c r="K14" i="142"/>
  <c r="AA91" i="137"/>
  <c r="AA85"/>
  <c r="K11" i="142"/>
  <c r="AA89" i="137"/>
  <c r="K9" i="142"/>
  <c r="AA87" i="137"/>
  <c r="AA88"/>
  <c r="K10" i="142"/>
  <c r="AA86" i="137"/>
  <c r="AA84"/>
  <c r="U65"/>
  <c r="U83"/>
  <c r="AA5" i="142" s="1"/>
  <c r="U81" i="137"/>
  <c r="U82"/>
  <c r="AA4" i="142" s="1"/>
  <c r="R83" i="137"/>
  <c r="X5" i="142" s="1"/>
  <c r="R82" i="137"/>
  <c r="X4" i="142" s="1"/>
  <c r="R81" i="137"/>
  <c r="R65"/>
  <c r="L83"/>
  <c r="R5" i="142" s="1"/>
  <c r="L82" i="137"/>
  <c r="R4" i="142" s="1"/>
  <c r="L65" i="137"/>
  <c r="L81"/>
  <c r="K82"/>
  <c r="Q4" i="142" s="1"/>
  <c r="K81" i="137"/>
  <c r="K83"/>
  <c r="Q5" i="142" s="1"/>
  <c r="K65" i="137"/>
  <c r="E69"/>
  <c r="E82"/>
  <c r="E65"/>
  <c r="E83"/>
  <c r="E81"/>
  <c r="I82"/>
  <c r="O4" i="142" s="1"/>
  <c r="I81" i="137"/>
  <c r="I83"/>
  <c r="O5" i="142" s="1"/>
  <c r="I65" i="137"/>
  <c r="Y103"/>
  <c r="Y130"/>
  <c r="Y117"/>
  <c r="Y125"/>
  <c r="Y123"/>
  <c r="Y104"/>
  <c r="Y112"/>
  <c r="Y122"/>
  <c r="Y107"/>
  <c r="Y115"/>
  <c r="Y110"/>
  <c r="Y109"/>
  <c r="Y114"/>
  <c r="Y119"/>
  <c r="Y102"/>
  <c r="Y113"/>
  <c r="Y127"/>
  <c r="Y124"/>
  <c r="Y101"/>
  <c r="Y129"/>
  <c r="Y111"/>
  <c r="AE3" i="142"/>
  <c r="Y100" i="137"/>
  <c r="Y137" s="1"/>
  <c r="Y94"/>
  <c r="Y105"/>
  <c r="Y108"/>
  <c r="Y118"/>
  <c r="Y155" s="1"/>
  <c r="Y194" s="1"/>
  <c r="Y116"/>
  <c r="Y128"/>
  <c r="Y165" s="1"/>
  <c r="Y204" s="1"/>
  <c r="Y131"/>
  <c r="Y168" s="1"/>
  <c r="Y207" s="1"/>
  <c r="Y106"/>
  <c r="Y121"/>
  <c r="Y120"/>
  <c r="Y126"/>
  <c r="W83"/>
  <c r="AC5" i="142" s="1"/>
  <c r="W65" i="137"/>
  <c r="W81"/>
  <c r="W82"/>
  <c r="AC4" i="142" s="1"/>
  <c r="M81" i="137"/>
  <c r="M83"/>
  <c r="S5" i="142" s="1"/>
  <c r="M65" i="137"/>
  <c r="M82"/>
  <c r="S4" i="142" s="1"/>
  <c r="O65" i="137"/>
  <c r="O82"/>
  <c r="U4" i="142" s="1"/>
  <c r="O81" i="137"/>
  <c r="O83"/>
  <c r="U5" i="142" s="1"/>
  <c r="G83" i="137"/>
  <c r="M5" i="142" s="1"/>
  <c r="G81" i="137"/>
  <c r="G82"/>
  <c r="M4" i="142" s="1"/>
  <c r="G65" i="137"/>
  <c r="F83"/>
  <c r="L5" i="142" s="1"/>
  <c r="F81" i="137"/>
  <c r="F65"/>
  <c r="F82"/>
  <c r="L4" i="142" s="1"/>
  <c r="Z56" i="137"/>
  <c r="V82"/>
  <c r="AB4" i="142" s="1"/>
  <c r="V81" i="137"/>
  <c r="V83"/>
  <c r="AB5" i="142" s="1"/>
  <c r="V65" i="137"/>
  <c r="X81"/>
  <c r="X82"/>
  <c r="AD4" i="142" s="1"/>
  <c r="X65" i="137"/>
  <c r="X83"/>
  <c r="AD5" i="142" s="1"/>
  <c r="S82" i="137"/>
  <c r="Y4" i="142" s="1"/>
  <c r="S81" i="137"/>
  <c r="S65"/>
  <c r="S83"/>
  <c r="Y5" i="142" s="1"/>
  <c r="T65" i="137"/>
  <c r="T83"/>
  <c r="Z5" i="142" s="1"/>
  <c r="T81" i="137"/>
  <c r="T82"/>
  <c r="Z4" i="142" s="1"/>
  <c r="J65" i="137"/>
  <c r="J83"/>
  <c r="P5" i="142" s="1"/>
  <c r="J82" i="137"/>
  <c r="P4" i="142" s="1"/>
  <c r="J81" i="137"/>
  <c r="Q81"/>
  <c r="Q65"/>
  <c r="Q83"/>
  <c r="W5" i="142" s="1"/>
  <c r="Q82" i="137"/>
  <c r="W4" i="142" s="1"/>
  <c r="H83" i="137"/>
  <c r="N5" i="142" s="1"/>
  <c r="H82" i="137"/>
  <c r="N4" i="142" s="1"/>
  <c r="H81" i="137"/>
  <c r="H65"/>
  <c r="P81"/>
  <c r="P82"/>
  <c r="V4" i="142" s="1"/>
  <c r="P65" i="137"/>
  <c r="P83"/>
  <c r="V5" i="142" s="1"/>
  <c r="N81" i="137"/>
  <c r="N83"/>
  <c r="T5" i="142" s="1"/>
  <c r="N82" i="137"/>
  <c r="T4" i="142" s="1"/>
  <c r="N65" i="137"/>
  <c r="Y157" l="1"/>
  <c r="Y196" s="1"/>
  <c r="Y142"/>
  <c r="Y181" s="1"/>
  <c r="Y150"/>
  <c r="Y189" s="1"/>
  <c r="Y148"/>
  <c r="Y187" s="1"/>
  <c r="Y164"/>
  <c r="Y203" s="1"/>
  <c r="Y151"/>
  <c r="Y190" s="1"/>
  <c r="Y144"/>
  <c r="Y183" s="1"/>
  <c r="Y160"/>
  <c r="Y199" s="1"/>
  <c r="Y140"/>
  <c r="Y179" s="1"/>
  <c r="Y153"/>
  <c r="Y192" s="1"/>
  <c r="Y146"/>
  <c r="Y185" s="1"/>
  <c r="Y162"/>
  <c r="Y201" s="1"/>
  <c r="S108"/>
  <c r="S112"/>
  <c r="S126"/>
  <c r="S120"/>
  <c r="S130"/>
  <c r="S105"/>
  <c r="S109"/>
  <c r="S129"/>
  <c r="S128"/>
  <c r="S111"/>
  <c r="S131"/>
  <c r="S113"/>
  <c r="S117"/>
  <c r="S114"/>
  <c r="S115"/>
  <c r="S103"/>
  <c r="S101"/>
  <c r="S123"/>
  <c r="S127"/>
  <c r="S164" s="1"/>
  <c r="Y3" i="142"/>
  <c r="S106" i="137"/>
  <c r="S121"/>
  <c r="S94"/>
  <c r="S116"/>
  <c r="S104"/>
  <c r="S124"/>
  <c r="S118"/>
  <c r="S119"/>
  <c r="S107"/>
  <c r="S144" s="1"/>
  <c r="S125"/>
  <c r="S162" s="1"/>
  <c r="S100"/>
  <c r="S137" s="1"/>
  <c r="S110"/>
  <c r="S102"/>
  <c r="S139" s="1"/>
  <c r="S122"/>
  <c r="S159" s="1"/>
  <c r="W106"/>
  <c r="W100"/>
  <c r="W137" s="1"/>
  <c r="W119"/>
  <c r="W102"/>
  <c r="W111"/>
  <c r="W115"/>
  <c r="W130"/>
  <c r="W104"/>
  <c r="W112"/>
  <c r="W149" s="1"/>
  <c r="W128"/>
  <c r="W113"/>
  <c r="W127"/>
  <c r="AC3" i="142"/>
  <c r="W121" i="137"/>
  <c r="W120"/>
  <c r="W157" s="1"/>
  <c r="W125"/>
  <c r="W117"/>
  <c r="W118"/>
  <c r="W116"/>
  <c r="W108"/>
  <c r="W114"/>
  <c r="W123"/>
  <c r="W101"/>
  <c r="W103"/>
  <c r="W140" s="1"/>
  <c r="W109"/>
  <c r="W94"/>
  <c r="W131"/>
  <c r="W168" s="1"/>
  <c r="W107"/>
  <c r="W110"/>
  <c r="W147" s="1"/>
  <c r="W129"/>
  <c r="W166" s="1"/>
  <c r="W122"/>
  <c r="W126"/>
  <c r="W163" s="1"/>
  <c r="W105"/>
  <c r="W124"/>
  <c r="E102"/>
  <c r="E105"/>
  <c r="AA81"/>
  <c r="E103"/>
  <c r="E104"/>
  <c r="E118"/>
  <c r="E123"/>
  <c r="E117"/>
  <c r="E127"/>
  <c r="E108"/>
  <c r="E125"/>
  <c r="E113"/>
  <c r="E110"/>
  <c r="E124"/>
  <c r="E112"/>
  <c r="E100"/>
  <c r="E137" s="1"/>
  <c r="E122"/>
  <c r="E106"/>
  <c r="E143" s="1"/>
  <c r="E182" s="1"/>
  <c r="K3" i="142"/>
  <c r="E129" i="137"/>
  <c r="E116"/>
  <c r="E121"/>
  <c r="E114"/>
  <c r="E107"/>
  <c r="E119"/>
  <c r="E131"/>
  <c r="E115"/>
  <c r="E152" s="1"/>
  <c r="E191" s="1"/>
  <c r="E101"/>
  <c r="E138" s="1"/>
  <c r="E177" s="1"/>
  <c r="E128"/>
  <c r="E130"/>
  <c r="E120"/>
  <c r="E111"/>
  <c r="E126"/>
  <c r="E109"/>
  <c r="E146" s="1"/>
  <c r="E185" s="1"/>
  <c r="E94"/>
  <c r="F69"/>
  <c r="E74"/>
  <c r="H122"/>
  <c r="H129"/>
  <c r="H113"/>
  <c r="H102"/>
  <c r="N3" i="142"/>
  <c r="H117" i="137"/>
  <c r="H107"/>
  <c r="H101"/>
  <c r="H130"/>
  <c r="H100"/>
  <c r="H137" s="1"/>
  <c r="H94"/>
  <c r="H108"/>
  <c r="H121"/>
  <c r="H124"/>
  <c r="H125"/>
  <c r="H118"/>
  <c r="H114"/>
  <c r="H127"/>
  <c r="H104"/>
  <c r="H131"/>
  <c r="H110"/>
  <c r="H115"/>
  <c r="H116"/>
  <c r="H106"/>
  <c r="H123"/>
  <c r="H160" s="1"/>
  <c r="H128"/>
  <c r="H165" s="1"/>
  <c r="H120"/>
  <c r="H119"/>
  <c r="H156" s="1"/>
  <c r="H126"/>
  <c r="H112"/>
  <c r="H111"/>
  <c r="H109"/>
  <c r="H146" s="1"/>
  <c r="H105"/>
  <c r="H103"/>
  <c r="T118"/>
  <c r="T127"/>
  <c r="T105"/>
  <c r="T131"/>
  <c r="T104"/>
  <c r="T94"/>
  <c r="T109"/>
  <c r="T120"/>
  <c r="T122"/>
  <c r="T100"/>
  <c r="T137" s="1"/>
  <c r="T114"/>
  <c r="T110"/>
  <c r="T116"/>
  <c r="T101"/>
  <c r="T138" s="1"/>
  <c r="T102"/>
  <c r="T117"/>
  <c r="T112"/>
  <c r="T115"/>
  <c r="T125"/>
  <c r="Z3" i="142"/>
  <c r="T130" i="137"/>
  <c r="T123"/>
  <c r="T107"/>
  <c r="T103"/>
  <c r="T126"/>
  <c r="T108"/>
  <c r="T124"/>
  <c r="T128"/>
  <c r="T111"/>
  <c r="T119"/>
  <c r="T106"/>
  <c r="T143" s="1"/>
  <c r="T113"/>
  <c r="T121"/>
  <c r="T129"/>
  <c r="V127"/>
  <c r="V108"/>
  <c r="V130"/>
  <c r="V110"/>
  <c r="V115"/>
  <c r="V116"/>
  <c r="V122"/>
  <c r="V105"/>
  <c r="V102"/>
  <c r="V94"/>
  <c r="V121"/>
  <c r="V112"/>
  <c r="V109"/>
  <c r="AB3" i="142"/>
  <c r="V100" i="137"/>
  <c r="V137" s="1"/>
  <c r="V106"/>
  <c r="V143" s="1"/>
  <c r="V111"/>
  <c r="V120"/>
  <c r="V103"/>
  <c r="V123"/>
  <c r="V126"/>
  <c r="V124"/>
  <c r="V128"/>
  <c r="V129"/>
  <c r="V117"/>
  <c r="V118"/>
  <c r="V131"/>
  <c r="V168" s="1"/>
  <c r="V114"/>
  <c r="V101"/>
  <c r="V113"/>
  <c r="V125"/>
  <c r="V104"/>
  <c r="V107"/>
  <c r="V119"/>
  <c r="V156" s="1"/>
  <c r="F117"/>
  <c r="F94"/>
  <c r="F121"/>
  <c r="F107"/>
  <c r="F105"/>
  <c r="F113"/>
  <c r="F101"/>
  <c r="F124"/>
  <c r="F108"/>
  <c r="F128"/>
  <c r="F119"/>
  <c r="F102"/>
  <c r="F127"/>
  <c r="F103"/>
  <c r="F122"/>
  <c r="F159" s="1"/>
  <c r="F131"/>
  <c r="F120"/>
  <c r="L3" i="142"/>
  <c r="F130" i="137"/>
  <c r="F100"/>
  <c r="F137" s="1"/>
  <c r="F110"/>
  <c r="F112"/>
  <c r="F123"/>
  <c r="F160" s="1"/>
  <c r="F109"/>
  <c r="F118"/>
  <c r="F155" s="1"/>
  <c r="F111"/>
  <c r="F115"/>
  <c r="F126"/>
  <c r="F106"/>
  <c r="F143" s="1"/>
  <c r="F116"/>
  <c r="F125"/>
  <c r="F114"/>
  <c r="F129"/>
  <c r="F104"/>
  <c r="F141" s="1"/>
  <c r="G117"/>
  <c r="G122"/>
  <c r="G127"/>
  <c r="G129"/>
  <c r="G102"/>
  <c r="G126"/>
  <c r="G109"/>
  <c r="G105"/>
  <c r="G125"/>
  <c r="G108"/>
  <c r="G114"/>
  <c r="G107"/>
  <c r="G128"/>
  <c r="G100"/>
  <c r="G137" s="1"/>
  <c r="G121"/>
  <c r="G103"/>
  <c r="G118"/>
  <c r="G155" s="1"/>
  <c r="G106"/>
  <c r="G116"/>
  <c r="G124"/>
  <c r="G112"/>
  <c r="G131"/>
  <c r="G120"/>
  <c r="G101"/>
  <c r="G119"/>
  <c r="G156" s="1"/>
  <c r="M3" i="142"/>
  <c r="G123" i="137"/>
  <c r="G110"/>
  <c r="G130"/>
  <c r="G94"/>
  <c r="G104"/>
  <c r="G115"/>
  <c r="G113"/>
  <c r="G150" s="1"/>
  <c r="G111"/>
  <c r="AA82"/>
  <c r="K4" i="142"/>
  <c r="Y163" i="137"/>
  <c r="Y202" s="1"/>
  <c r="Y145"/>
  <c r="Y184" s="1"/>
  <c r="Y161"/>
  <c r="Y200" s="1"/>
  <c r="Y156"/>
  <c r="Y195" s="1"/>
  <c r="Y152"/>
  <c r="Y191" s="1"/>
  <c r="Y141"/>
  <c r="Y180" s="1"/>
  <c r="Y167"/>
  <c r="Y206" s="1"/>
  <c r="N122"/>
  <c r="N103"/>
  <c r="N128"/>
  <c r="N127"/>
  <c r="N120"/>
  <c r="N117"/>
  <c r="N110"/>
  <c r="N104"/>
  <c r="N101"/>
  <c r="N126"/>
  <c r="N121"/>
  <c r="N100"/>
  <c r="N137" s="1"/>
  <c r="T3" i="142"/>
  <c r="N107" i="137"/>
  <c r="N124"/>
  <c r="N130"/>
  <c r="N109"/>
  <c r="N94"/>
  <c r="N129"/>
  <c r="N166" s="1"/>
  <c r="N125"/>
  <c r="N113"/>
  <c r="N131"/>
  <c r="N119"/>
  <c r="N118"/>
  <c r="N102"/>
  <c r="N139" s="1"/>
  <c r="N123"/>
  <c r="N114"/>
  <c r="N106"/>
  <c r="N105"/>
  <c r="N111"/>
  <c r="N108"/>
  <c r="N112"/>
  <c r="N116"/>
  <c r="N115"/>
  <c r="J100"/>
  <c r="J137" s="1"/>
  <c r="J131"/>
  <c r="J117"/>
  <c r="J104"/>
  <c r="J103"/>
  <c r="J126"/>
  <c r="J113"/>
  <c r="J107"/>
  <c r="J101"/>
  <c r="J138" s="1"/>
  <c r="J114"/>
  <c r="J105"/>
  <c r="J115"/>
  <c r="J127"/>
  <c r="J118"/>
  <c r="J124"/>
  <c r="J108"/>
  <c r="J145" s="1"/>
  <c r="J111"/>
  <c r="J120"/>
  <c r="P3" i="142"/>
  <c r="J106" i="137"/>
  <c r="J116"/>
  <c r="J122"/>
  <c r="J112"/>
  <c r="J94"/>
  <c r="J109"/>
  <c r="J102"/>
  <c r="J121"/>
  <c r="J128"/>
  <c r="J129"/>
  <c r="J110"/>
  <c r="J119"/>
  <c r="J125"/>
  <c r="J123"/>
  <c r="J130"/>
  <c r="O127"/>
  <c r="O113"/>
  <c r="O100"/>
  <c r="O137" s="1"/>
  <c r="O122"/>
  <c r="O101"/>
  <c r="O106"/>
  <c r="O125"/>
  <c r="O102"/>
  <c r="O109"/>
  <c r="O124"/>
  <c r="O115"/>
  <c r="O103"/>
  <c r="O120"/>
  <c r="O111"/>
  <c r="O116"/>
  <c r="O153" s="1"/>
  <c r="O123"/>
  <c r="O160" s="1"/>
  <c r="U3" i="142"/>
  <c r="O112" i="137"/>
  <c r="O149" s="1"/>
  <c r="O128"/>
  <c r="O129"/>
  <c r="O121"/>
  <c r="O158" s="1"/>
  <c r="O131"/>
  <c r="O118"/>
  <c r="O94"/>
  <c r="O126"/>
  <c r="O108"/>
  <c r="O105"/>
  <c r="O107"/>
  <c r="O130"/>
  <c r="O119"/>
  <c r="O117"/>
  <c r="O154" s="1"/>
  <c r="O104"/>
  <c r="O141" s="1"/>
  <c r="O114"/>
  <c r="O110"/>
  <c r="M121"/>
  <c r="M115"/>
  <c r="M104"/>
  <c r="M103"/>
  <c r="M109"/>
  <c r="M100"/>
  <c r="M137" s="1"/>
  <c r="M126"/>
  <c r="M119"/>
  <c r="M105"/>
  <c r="M111"/>
  <c r="M94"/>
  <c r="M108"/>
  <c r="M112"/>
  <c r="M131"/>
  <c r="S3" i="142"/>
  <c r="M122" i="137"/>
  <c r="M124"/>
  <c r="M102"/>
  <c r="M123"/>
  <c r="M110"/>
  <c r="M113"/>
  <c r="M150" s="1"/>
  <c r="M117"/>
  <c r="M114"/>
  <c r="M107"/>
  <c r="M116"/>
  <c r="M127"/>
  <c r="M125"/>
  <c r="M129"/>
  <c r="M130"/>
  <c r="M120"/>
  <c r="M106"/>
  <c r="M128"/>
  <c r="M118"/>
  <c r="M101"/>
  <c r="M138" s="1"/>
  <c r="Y176"/>
  <c r="I107"/>
  <c r="I121"/>
  <c r="I129"/>
  <c r="I113"/>
  <c r="I126"/>
  <c r="I102"/>
  <c r="I111"/>
  <c r="I115"/>
  <c r="I118"/>
  <c r="I124"/>
  <c r="I120"/>
  <c r="I101"/>
  <c r="I112"/>
  <c r="I94"/>
  <c r="I103"/>
  <c r="I108"/>
  <c r="I128"/>
  <c r="I110"/>
  <c r="I116"/>
  <c r="I123"/>
  <c r="I114"/>
  <c r="I109"/>
  <c r="I104"/>
  <c r="I141" s="1"/>
  <c r="I125"/>
  <c r="I100"/>
  <c r="I137" s="1"/>
  <c r="I131"/>
  <c r="I122"/>
  <c r="I130"/>
  <c r="I127"/>
  <c r="I164" s="1"/>
  <c r="O3" i="142"/>
  <c r="I105" i="137"/>
  <c r="I142" s="1"/>
  <c r="I117"/>
  <c r="I106"/>
  <c r="I119"/>
  <c r="K101"/>
  <c r="K112"/>
  <c r="K115"/>
  <c r="K102"/>
  <c r="K109"/>
  <c r="K113"/>
  <c r="K94"/>
  <c r="K120"/>
  <c r="K126"/>
  <c r="K100"/>
  <c r="K137" s="1"/>
  <c r="K130"/>
  <c r="K116"/>
  <c r="K103"/>
  <c r="K106"/>
  <c r="K110"/>
  <c r="K117"/>
  <c r="K122"/>
  <c r="K121"/>
  <c r="Q3" i="142"/>
  <c r="K131" i="137"/>
  <c r="K105"/>
  <c r="K114"/>
  <c r="K151" s="1"/>
  <c r="K104"/>
  <c r="K123"/>
  <c r="K111"/>
  <c r="K124"/>
  <c r="K129"/>
  <c r="K125"/>
  <c r="K127"/>
  <c r="K164" s="1"/>
  <c r="K108"/>
  <c r="K119"/>
  <c r="K107"/>
  <c r="K118"/>
  <c r="K128"/>
  <c r="R123"/>
  <c r="R127"/>
  <c r="R105"/>
  <c r="R120"/>
  <c r="R128"/>
  <c r="R113"/>
  <c r="R107"/>
  <c r="R110"/>
  <c r="R125"/>
  <c r="R111"/>
  <c r="R122"/>
  <c r="R129"/>
  <c r="R114"/>
  <c r="R119"/>
  <c r="R106"/>
  <c r="R143" s="1"/>
  <c r="R103"/>
  <c r="R94"/>
  <c r="R116"/>
  <c r="R100"/>
  <c r="R137" s="1"/>
  <c r="R124"/>
  <c r="R101"/>
  <c r="R108"/>
  <c r="R131"/>
  <c r="R130"/>
  <c r="R167" s="1"/>
  <c r="R112"/>
  <c r="R102"/>
  <c r="R104"/>
  <c r="R117"/>
  <c r="R121"/>
  <c r="X3" i="142"/>
  <c r="R109" i="137"/>
  <c r="R115"/>
  <c r="R118"/>
  <c r="R126"/>
  <c r="U119"/>
  <c r="U130"/>
  <c r="U123"/>
  <c r="U114"/>
  <c r="U108"/>
  <c r="U122"/>
  <c r="U125"/>
  <c r="U104"/>
  <c r="U112"/>
  <c r="U121"/>
  <c r="U120"/>
  <c r="U115"/>
  <c r="U152" s="1"/>
  <c r="U105"/>
  <c r="U100"/>
  <c r="U137" s="1"/>
  <c r="U107"/>
  <c r="U106"/>
  <c r="U101"/>
  <c r="U109"/>
  <c r="U111"/>
  <c r="U103"/>
  <c r="U124"/>
  <c r="U127"/>
  <c r="U110"/>
  <c r="U129"/>
  <c r="U131"/>
  <c r="U128"/>
  <c r="U126"/>
  <c r="U163" s="1"/>
  <c r="U117"/>
  <c r="U94"/>
  <c r="U102"/>
  <c r="AA3" i="142"/>
  <c r="U113" i="137"/>
  <c r="U116"/>
  <c r="U118"/>
  <c r="Y143"/>
  <c r="Y182" s="1"/>
  <c r="Y138"/>
  <c r="Y177" s="1"/>
  <c r="Y139"/>
  <c r="Y178" s="1"/>
  <c r="Y147"/>
  <c r="Y186" s="1"/>
  <c r="Y149"/>
  <c r="Y188" s="1"/>
  <c r="Y154"/>
  <c r="Y193" s="1"/>
  <c r="P100"/>
  <c r="P137" s="1"/>
  <c r="P127"/>
  <c r="P111"/>
  <c r="P94"/>
  <c r="P113"/>
  <c r="P125"/>
  <c r="P112"/>
  <c r="P149" s="1"/>
  <c r="P107"/>
  <c r="P129"/>
  <c r="P119"/>
  <c r="P103"/>
  <c r="P122"/>
  <c r="P130"/>
  <c r="P102"/>
  <c r="P109"/>
  <c r="P118"/>
  <c r="P115"/>
  <c r="V3" i="142"/>
  <c r="P128" i="137"/>
  <c r="P114"/>
  <c r="P124"/>
  <c r="P101"/>
  <c r="P121"/>
  <c r="P116"/>
  <c r="P131"/>
  <c r="P168" s="1"/>
  <c r="P110"/>
  <c r="P104"/>
  <c r="P141" s="1"/>
  <c r="P117"/>
  <c r="P106"/>
  <c r="P105"/>
  <c r="P126"/>
  <c r="P120"/>
  <c r="P108"/>
  <c r="P123"/>
  <c r="Q102"/>
  <c r="Q117"/>
  <c r="Q116"/>
  <c r="Q104"/>
  <c r="Q100"/>
  <c r="Q137" s="1"/>
  <c r="Q111"/>
  <c r="Q101"/>
  <c r="Q126"/>
  <c r="Q103"/>
  <c r="Q140" s="1"/>
  <c r="Q124"/>
  <c r="Q128"/>
  <c r="Q127"/>
  <c r="W3" i="142"/>
  <c r="Q112" i="137"/>
  <c r="Q149" s="1"/>
  <c r="Q113"/>
  <c r="Q105"/>
  <c r="Q142" s="1"/>
  <c r="Q131"/>
  <c r="Q107"/>
  <c r="Q121"/>
  <c r="Q122"/>
  <c r="Q123"/>
  <c r="Q119"/>
  <c r="Q114"/>
  <c r="Q108"/>
  <c r="Q129"/>
  <c r="Q120"/>
  <c r="Q94"/>
  <c r="Q115"/>
  <c r="Q109"/>
  <c r="Q118"/>
  <c r="Q155" s="1"/>
  <c r="Q130"/>
  <c r="Q106"/>
  <c r="Q143" s="1"/>
  <c r="Q125"/>
  <c r="Q110"/>
  <c r="X94"/>
  <c r="X104"/>
  <c r="X103"/>
  <c r="X131"/>
  <c r="X121"/>
  <c r="X128"/>
  <c r="X115"/>
  <c r="X110"/>
  <c r="X111"/>
  <c r="X114"/>
  <c r="X126"/>
  <c r="X102"/>
  <c r="X123"/>
  <c r="X113"/>
  <c r="X108"/>
  <c r="X124"/>
  <c r="X127"/>
  <c r="AD3" i="142"/>
  <c r="X119" i="137"/>
  <c r="X125"/>
  <c r="X109"/>
  <c r="X101"/>
  <c r="X112"/>
  <c r="X120"/>
  <c r="X100"/>
  <c r="X137" s="1"/>
  <c r="X130"/>
  <c r="X122"/>
  <c r="X106"/>
  <c r="X107"/>
  <c r="X105"/>
  <c r="X142" s="1"/>
  <c r="X118"/>
  <c r="X117"/>
  <c r="X129"/>
  <c r="X116"/>
  <c r="AA83"/>
  <c r="K5" i="142"/>
  <c r="L94" i="137"/>
  <c r="L108"/>
  <c r="L129"/>
  <c r="L127"/>
  <c r="L105"/>
  <c r="L104"/>
  <c r="L101"/>
  <c r="L116"/>
  <c r="L122"/>
  <c r="L110"/>
  <c r="L113"/>
  <c r="L106"/>
  <c r="L103"/>
  <c r="L109"/>
  <c r="L146" s="1"/>
  <c r="L131"/>
  <c r="L111"/>
  <c r="L112"/>
  <c r="L107"/>
  <c r="R3" i="142"/>
  <c r="L120" i="137"/>
  <c r="L130"/>
  <c r="L128"/>
  <c r="L119"/>
  <c r="L124"/>
  <c r="L114"/>
  <c r="L126"/>
  <c r="L102"/>
  <c r="L139" s="1"/>
  <c r="L117"/>
  <c r="L154" s="1"/>
  <c r="L115"/>
  <c r="L125"/>
  <c r="L118"/>
  <c r="L121"/>
  <c r="L158" s="1"/>
  <c r="L100"/>
  <c r="L137" s="1"/>
  <c r="L123"/>
  <c r="Y158"/>
  <c r="Y197" s="1"/>
  <c r="Y166"/>
  <c r="Y205" s="1"/>
  <c r="Y159"/>
  <c r="Y198" s="1"/>
  <c r="O140" l="1"/>
  <c r="Q151"/>
  <c r="Q164"/>
  <c r="S161"/>
  <c r="X162"/>
  <c r="K154"/>
  <c r="K150"/>
  <c r="W142"/>
  <c r="Q157"/>
  <c r="U165"/>
  <c r="W161"/>
  <c r="L162"/>
  <c r="L165"/>
  <c r="L144"/>
  <c r="X154"/>
  <c r="X143"/>
  <c r="X139"/>
  <c r="X168"/>
  <c r="Q144"/>
  <c r="P160"/>
  <c r="P156"/>
  <c r="U166"/>
  <c r="U140"/>
  <c r="R153"/>
  <c r="R148"/>
  <c r="M154"/>
  <c r="M168"/>
  <c r="O147"/>
  <c r="O168"/>
  <c r="N160"/>
  <c r="G160"/>
  <c r="G146"/>
  <c r="G164"/>
  <c r="F147"/>
  <c r="F164"/>
  <c r="F145"/>
  <c r="V162"/>
  <c r="V158"/>
  <c r="P154"/>
  <c r="L151"/>
  <c r="L167"/>
  <c r="L149"/>
  <c r="L140"/>
  <c r="L159"/>
  <c r="X159"/>
  <c r="X149"/>
  <c r="X145"/>
  <c r="X152"/>
  <c r="Q146"/>
  <c r="Q166"/>
  <c r="Q160"/>
  <c r="Q168"/>
  <c r="Q139"/>
  <c r="G138"/>
  <c r="G144"/>
  <c r="F140"/>
  <c r="V151"/>
  <c r="T142"/>
  <c r="H142"/>
  <c r="H163"/>
  <c r="H151"/>
  <c r="H158"/>
  <c r="E167"/>
  <c r="E206" s="1"/>
  <c r="E145"/>
  <c r="E184" s="1"/>
  <c r="E155"/>
  <c r="E194" s="1"/>
  <c r="E142"/>
  <c r="E181" s="1"/>
  <c r="W155"/>
  <c r="W165"/>
  <c r="W152"/>
  <c r="S147"/>
  <c r="G149"/>
  <c r="F162"/>
  <c r="F152"/>
  <c r="F191" s="1"/>
  <c r="F138"/>
  <c r="F177" s="1"/>
  <c r="V154"/>
  <c r="V146"/>
  <c r="T150"/>
  <c r="T154"/>
  <c r="T168"/>
  <c r="H149"/>
  <c r="H154"/>
  <c r="E151"/>
  <c r="E190" s="1"/>
  <c r="E149"/>
  <c r="E188" s="1"/>
  <c r="E165"/>
  <c r="E204" s="1"/>
  <c r="X161"/>
  <c r="X147"/>
  <c r="Q154"/>
  <c r="M160"/>
  <c r="M141"/>
  <c r="O142"/>
  <c r="J142"/>
  <c r="N156"/>
  <c r="N165"/>
  <c r="G152"/>
  <c r="G147"/>
  <c r="G161"/>
  <c r="G140"/>
  <c r="G142"/>
  <c r="G166"/>
  <c r="F153"/>
  <c r="F148"/>
  <c r="F165"/>
  <c r="V141"/>
  <c r="V166"/>
  <c r="V160"/>
  <c r="V149"/>
  <c r="V147"/>
  <c r="T161"/>
  <c r="T139"/>
  <c r="T151"/>
  <c r="T146"/>
  <c r="H147"/>
  <c r="H167"/>
  <c r="E158"/>
  <c r="E197" s="1"/>
  <c r="F182"/>
  <c r="E161"/>
  <c r="E200" s="1"/>
  <c r="F184"/>
  <c r="F194"/>
  <c r="G194" s="1"/>
  <c r="W160"/>
  <c r="W158"/>
  <c r="I143"/>
  <c r="P167"/>
  <c r="K148"/>
  <c r="K142"/>
  <c r="I149"/>
  <c r="T165"/>
  <c r="T157"/>
  <c r="H140"/>
  <c r="W146"/>
  <c r="L152"/>
  <c r="L160"/>
  <c r="L141"/>
  <c r="E168"/>
  <c r="E207" s="1"/>
  <c r="K140"/>
  <c r="I151"/>
  <c r="S141"/>
  <c r="S154"/>
  <c r="S167"/>
  <c r="X157"/>
  <c r="Q147"/>
  <c r="Q161"/>
  <c r="P138"/>
  <c r="P162"/>
  <c r="R163"/>
  <c r="R139"/>
  <c r="R156"/>
  <c r="R150"/>
  <c r="K155"/>
  <c r="K163"/>
  <c r="I155"/>
  <c r="I163"/>
  <c r="L155"/>
  <c r="X166"/>
  <c r="Q165"/>
  <c r="Q153"/>
  <c r="P163"/>
  <c r="P158"/>
  <c r="P165"/>
  <c r="P146"/>
  <c r="P140"/>
  <c r="P148"/>
  <c r="U153"/>
  <c r="U168"/>
  <c r="U161"/>
  <c r="U138"/>
  <c r="U142"/>
  <c r="U149"/>
  <c r="U145"/>
  <c r="U156"/>
  <c r="R146"/>
  <c r="R141"/>
  <c r="R168"/>
  <c r="R159"/>
  <c r="K165"/>
  <c r="K145"/>
  <c r="K161"/>
  <c r="K158"/>
  <c r="K143"/>
  <c r="K149"/>
  <c r="I156"/>
  <c r="I168"/>
  <c r="I146"/>
  <c r="I161"/>
  <c r="I139"/>
  <c r="I158"/>
  <c r="M167"/>
  <c r="M161"/>
  <c r="M142"/>
  <c r="M146"/>
  <c r="O167"/>
  <c r="O163"/>
  <c r="O138"/>
  <c r="J166"/>
  <c r="J146"/>
  <c r="J153"/>
  <c r="N142"/>
  <c r="N150"/>
  <c r="N146"/>
  <c r="N138"/>
  <c r="N157"/>
  <c r="N159"/>
  <c r="S158"/>
  <c r="S151"/>
  <c r="S148"/>
  <c r="S142"/>
  <c r="P153"/>
  <c r="P151"/>
  <c r="P144"/>
  <c r="U164"/>
  <c r="U158"/>
  <c r="R152"/>
  <c r="R161"/>
  <c r="R166"/>
  <c r="I153"/>
  <c r="M157"/>
  <c r="M164"/>
  <c r="M148"/>
  <c r="M152"/>
  <c r="O156"/>
  <c r="O145"/>
  <c r="O161"/>
  <c r="O143"/>
  <c r="J167"/>
  <c r="J147"/>
  <c r="J139"/>
  <c r="J159"/>
  <c r="J157"/>
  <c r="J155"/>
  <c r="J151"/>
  <c r="J163"/>
  <c r="N152"/>
  <c r="N148"/>
  <c r="N168"/>
  <c r="N144"/>
  <c r="N163"/>
  <c r="N154"/>
  <c r="N140"/>
  <c r="G157"/>
  <c r="F157"/>
  <c r="V165"/>
  <c r="V140"/>
  <c r="T156"/>
  <c r="T160"/>
  <c r="T164"/>
  <c r="H145"/>
  <c r="E163"/>
  <c r="E202" s="1"/>
  <c r="E153"/>
  <c r="E192" s="1"/>
  <c r="E141"/>
  <c r="E180" s="1"/>
  <c r="F180" s="1"/>
  <c r="E139"/>
  <c r="E178" s="1"/>
  <c r="W151"/>
  <c r="W154"/>
  <c r="S155"/>
  <c r="S168"/>
  <c r="S146"/>
  <c r="L145"/>
  <c r="L142"/>
  <c r="X155"/>
  <c r="X156"/>
  <c r="X163"/>
  <c r="X140"/>
  <c r="Q162"/>
  <c r="P142"/>
  <c r="P147"/>
  <c r="P139"/>
  <c r="P164"/>
  <c r="U150"/>
  <c r="U154"/>
  <c r="U143"/>
  <c r="U141"/>
  <c r="U151"/>
  <c r="R145"/>
  <c r="R164"/>
  <c r="K159"/>
  <c r="K146"/>
  <c r="K138"/>
  <c r="I165"/>
  <c r="I144"/>
  <c r="M155"/>
  <c r="M153"/>
  <c r="M149"/>
  <c r="M158"/>
  <c r="O151"/>
  <c r="O157"/>
  <c r="O146"/>
  <c r="O164"/>
  <c r="J160"/>
  <c r="J148"/>
  <c r="J164"/>
  <c r="J140"/>
  <c r="N153"/>
  <c r="G141"/>
  <c r="G153"/>
  <c r="G158"/>
  <c r="G151"/>
  <c r="F166"/>
  <c r="F142"/>
  <c r="F154"/>
  <c r="V159"/>
  <c r="V167"/>
  <c r="T166"/>
  <c r="T145"/>
  <c r="T152"/>
  <c r="H143"/>
  <c r="H168"/>
  <c r="H155"/>
  <c r="H138"/>
  <c r="H139"/>
  <c r="E156"/>
  <c r="E195" s="1"/>
  <c r="E159"/>
  <c r="E198" s="1"/>
  <c r="F198" s="1"/>
  <c r="E147"/>
  <c r="E186" s="1"/>
  <c r="F186" s="1"/>
  <c r="E164"/>
  <c r="E203" s="1"/>
  <c r="W148"/>
  <c r="W143"/>
  <c r="S143"/>
  <c r="S138"/>
  <c r="S165"/>
  <c r="S145"/>
  <c r="E95"/>
  <c r="F95" s="1"/>
  <c r="G95" s="1"/>
  <c r="H95" s="1"/>
  <c r="I95" s="1"/>
  <c r="J95" s="1"/>
  <c r="K95" s="1"/>
  <c r="L95" s="1"/>
  <c r="M95" s="1"/>
  <c r="N95" s="1"/>
  <c r="O95" s="1"/>
  <c r="P95" s="1"/>
  <c r="Q95" s="1"/>
  <c r="R95" s="1"/>
  <c r="S95" s="1"/>
  <c r="T95" s="1"/>
  <c r="U95" s="1"/>
  <c r="V95" s="1"/>
  <c r="W95" s="1"/>
  <c r="X95" s="1"/>
  <c r="C10"/>
  <c r="M139"/>
  <c r="T144"/>
  <c r="S160"/>
  <c r="L168"/>
  <c r="L138"/>
  <c r="X144"/>
  <c r="X160"/>
  <c r="P157"/>
  <c r="U139"/>
  <c r="U146"/>
  <c r="U167"/>
  <c r="R140"/>
  <c r="K156"/>
  <c r="K167"/>
  <c r="I159"/>
  <c r="I140"/>
  <c r="I157"/>
  <c r="I148"/>
  <c r="I166"/>
  <c r="Y209"/>
  <c r="M143"/>
  <c r="M162"/>
  <c r="M151"/>
  <c r="M163"/>
  <c r="O155"/>
  <c r="O165"/>
  <c r="O152"/>
  <c r="O162"/>
  <c r="J156"/>
  <c r="J158"/>
  <c r="J149"/>
  <c r="J161"/>
  <c r="J150"/>
  <c r="J154"/>
  <c r="N145"/>
  <c r="N151"/>
  <c r="N161"/>
  <c r="N158"/>
  <c r="N147"/>
  <c r="G167"/>
  <c r="G165"/>
  <c r="G162"/>
  <c r="G139"/>
  <c r="G154"/>
  <c r="F167"/>
  <c r="F156"/>
  <c r="F158"/>
  <c r="V144"/>
  <c r="V138"/>
  <c r="V163"/>
  <c r="V148"/>
  <c r="V139"/>
  <c r="V152"/>
  <c r="V164"/>
  <c r="T140"/>
  <c r="T147"/>
  <c r="H152"/>
  <c r="H164"/>
  <c r="H161"/>
  <c r="H166"/>
  <c r="E157"/>
  <c r="E196" s="1"/>
  <c r="E162"/>
  <c r="E201" s="1"/>
  <c r="F201" s="1"/>
  <c r="E160"/>
  <c r="E199" s="1"/>
  <c r="F199" s="1"/>
  <c r="B94"/>
  <c r="W159"/>
  <c r="W138"/>
  <c r="W153"/>
  <c r="W150"/>
  <c r="W167"/>
  <c r="W156"/>
  <c r="S152"/>
  <c r="S163"/>
  <c r="F74"/>
  <c r="G69"/>
  <c r="E176"/>
  <c r="L163"/>
  <c r="L147"/>
  <c r="Q156"/>
  <c r="Q148"/>
  <c r="R144"/>
  <c r="R142"/>
  <c r="I147"/>
  <c r="O148"/>
  <c r="O150"/>
  <c r="J168"/>
  <c r="F149"/>
  <c r="F150"/>
  <c r="V142"/>
  <c r="T162"/>
  <c r="H159"/>
  <c r="S149"/>
  <c r="L156"/>
  <c r="L150"/>
  <c r="L166"/>
  <c r="X146"/>
  <c r="X164"/>
  <c r="X148"/>
  <c r="X158"/>
  <c r="Q167"/>
  <c r="Q158"/>
  <c r="Q150"/>
  <c r="Q138"/>
  <c r="P155"/>
  <c r="P159"/>
  <c r="U155"/>
  <c r="U159"/>
  <c r="R154"/>
  <c r="R147"/>
  <c r="R157"/>
  <c r="K166"/>
  <c r="K141"/>
  <c r="K147"/>
  <c r="K152"/>
  <c r="L161"/>
  <c r="L157"/>
  <c r="L148"/>
  <c r="L143"/>
  <c r="L153"/>
  <c r="L164"/>
  <c r="X153"/>
  <c r="X167"/>
  <c r="X138"/>
  <c r="X150"/>
  <c r="X151"/>
  <c r="X165"/>
  <c r="X141"/>
  <c r="Q152"/>
  <c r="Q145"/>
  <c r="Q159"/>
  <c r="Q163"/>
  <c r="Q141"/>
  <c r="P145"/>
  <c r="P143"/>
  <c r="P161"/>
  <c r="P152"/>
  <c r="P166"/>
  <c r="P150"/>
  <c r="U147"/>
  <c r="U148"/>
  <c r="U144"/>
  <c r="U157"/>
  <c r="U162"/>
  <c r="U160"/>
  <c r="R155"/>
  <c r="R158"/>
  <c r="R149"/>
  <c r="R138"/>
  <c r="R151"/>
  <c r="R162"/>
  <c r="R165"/>
  <c r="R160"/>
  <c r="K144"/>
  <c r="K162"/>
  <c r="K160"/>
  <c r="K168"/>
  <c r="K153"/>
  <c r="K157"/>
  <c r="K139"/>
  <c r="I154"/>
  <c r="I167"/>
  <c r="I162"/>
  <c r="I160"/>
  <c r="I145"/>
  <c r="I138"/>
  <c r="I152"/>
  <c r="I150"/>
  <c r="Y171"/>
  <c r="M165"/>
  <c r="M166"/>
  <c r="M144"/>
  <c r="M147"/>
  <c r="M159"/>
  <c r="M145"/>
  <c r="M156"/>
  <c r="M140"/>
  <c r="O144"/>
  <c r="O166"/>
  <c r="O139"/>
  <c r="O159"/>
  <c r="J162"/>
  <c r="J165"/>
  <c r="J143"/>
  <c r="J152"/>
  <c r="J144"/>
  <c r="J141"/>
  <c r="N149"/>
  <c r="N143"/>
  <c r="N155"/>
  <c r="N162"/>
  <c r="N167"/>
  <c r="N141"/>
  <c r="N164"/>
  <c r="G148"/>
  <c r="G168"/>
  <c r="G143"/>
  <c r="G145"/>
  <c r="G184" s="1"/>
  <c r="G163"/>
  <c r="G159"/>
  <c r="F151"/>
  <c r="F163"/>
  <c r="F146"/>
  <c r="F185" s="1"/>
  <c r="F168"/>
  <c r="F139"/>
  <c r="F161"/>
  <c r="F144"/>
  <c r="V150"/>
  <c r="V155"/>
  <c r="V161"/>
  <c r="V157"/>
  <c r="V153"/>
  <c r="V145"/>
  <c r="T158"/>
  <c r="T148"/>
  <c r="T163"/>
  <c r="T167"/>
  <c r="T149"/>
  <c r="T153"/>
  <c r="T159"/>
  <c r="T141"/>
  <c r="T155"/>
  <c r="H148"/>
  <c r="H157"/>
  <c r="H153"/>
  <c r="H141"/>
  <c r="H162"/>
  <c r="H144"/>
  <c r="H150"/>
  <c r="E148"/>
  <c r="E187" s="1"/>
  <c r="E144"/>
  <c r="E183" s="1"/>
  <c r="E166"/>
  <c r="E205" s="1"/>
  <c r="E150"/>
  <c r="E189" s="1"/>
  <c r="E154"/>
  <c r="E193" s="1"/>
  <c r="E140"/>
  <c r="E179" s="1"/>
  <c r="W144"/>
  <c r="W145"/>
  <c r="W162"/>
  <c r="W164"/>
  <c r="W141"/>
  <c r="W139"/>
  <c r="S156"/>
  <c r="S153"/>
  <c r="S140"/>
  <c r="S150"/>
  <c r="S166"/>
  <c r="S157"/>
  <c r="F183" l="1"/>
  <c r="G183" s="1"/>
  <c r="F196"/>
  <c r="G196" s="1"/>
  <c r="H196" s="1"/>
  <c r="I196" s="1"/>
  <c r="J196" s="1"/>
  <c r="K196" s="1"/>
  <c r="L196" s="1"/>
  <c r="M196" s="1"/>
  <c r="N196" s="1"/>
  <c r="O196" s="1"/>
  <c r="P196" s="1"/>
  <c r="Q196" s="1"/>
  <c r="R196" s="1"/>
  <c r="S196" s="1"/>
  <c r="T196" s="1"/>
  <c r="U196" s="1"/>
  <c r="V196" s="1"/>
  <c r="W196" s="1"/>
  <c r="X196" s="1"/>
  <c r="G185"/>
  <c r="H185" s="1"/>
  <c r="I185" s="1"/>
  <c r="J185" s="1"/>
  <c r="K185" s="1"/>
  <c r="L185" s="1"/>
  <c r="M185" s="1"/>
  <c r="N185" s="1"/>
  <c r="O185" s="1"/>
  <c r="P185" s="1"/>
  <c r="Q185" s="1"/>
  <c r="R185" s="1"/>
  <c r="S185" s="1"/>
  <c r="T185" s="1"/>
  <c r="U185" s="1"/>
  <c r="V185" s="1"/>
  <c r="W185" s="1"/>
  <c r="X185" s="1"/>
  <c r="F189"/>
  <c r="G189" s="1"/>
  <c r="H189" s="1"/>
  <c r="I189" s="1"/>
  <c r="J189" s="1"/>
  <c r="K189" s="1"/>
  <c r="L189" s="1"/>
  <c r="M189" s="1"/>
  <c r="N189" s="1"/>
  <c r="O189" s="1"/>
  <c r="P189" s="1"/>
  <c r="Q189" s="1"/>
  <c r="R189" s="1"/>
  <c r="S189" s="1"/>
  <c r="T189" s="1"/>
  <c r="U189" s="1"/>
  <c r="V189" s="1"/>
  <c r="W189" s="1"/>
  <c r="X189" s="1"/>
  <c r="F207"/>
  <c r="G186"/>
  <c r="F188"/>
  <c r="G188" s="1"/>
  <c r="H188" s="1"/>
  <c r="I188" s="1"/>
  <c r="J188" s="1"/>
  <c r="K188" s="1"/>
  <c r="L188" s="1"/>
  <c r="M188" s="1"/>
  <c r="N188" s="1"/>
  <c r="O188" s="1"/>
  <c r="P188" s="1"/>
  <c r="Q188" s="1"/>
  <c r="R188" s="1"/>
  <c r="S188" s="1"/>
  <c r="T188" s="1"/>
  <c r="U188" s="1"/>
  <c r="V188" s="1"/>
  <c r="W188" s="1"/>
  <c r="X188" s="1"/>
  <c r="G199"/>
  <c r="H199" s="1"/>
  <c r="I199" s="1"/>
  <c r="J199" s="1"/>
  <c r="K199" s="1"/>
  <c r="L199" s="1"/>
  <c r="M199" s="1"/>
  <c r="N199" s="1"/>
  <c r="O199" s="1"/>
  <c r="P199" s="1"/>
  <c r="Q199" s="1"/>
  <c r="R199" s="1"/>
  <c r="S199" s="1"/>
  <c r="T199" s="1"/>
  <c r="U199" s="1"/>
  <c r="V199" s="1"/>
  <c r="W199" s="1"/>
  <c r="X199" s="1"/>
  <c r="F192"/>
  <c r="G192" s="1"/>
  <c r="H192" s="1"/>
  <c r="I192" s="1"/>
  <c r="J192" s="1"/>
  <c r="K192" s="1"/>
  <c r="L192" s="1"/>
  <c r="M192" s="1"/>
  <c r="N192" s="1"/>
  <c r="O192" s="1"/>
  <c r="P192" s="1"/>
  <c r="Q192" s="1"/>
  <c r="R192" s="1"/>
  <c r="S192" s="1"/>
  <c r="T192" s="1"/>
  <c r="U192" s="1"/>
  <c r="V192" s="1"/>
  <c r="W192" s="1"/>
  <c r="X192" s="1"/>
  <c r="G177"/>
  <c r="H177" s="1"/>
  <c r="I177" s="1"/>
  <c r="J177" s="1"/>
  <c r="K177" s="1"/>
  <c r="L177" s="1"/>
  <c r="M177" s="1"/>
  <c r="N177" s="1"/>
  <c r="O177" s="1"/>
  <c r="P177" s="1"/>
  <c r="Q177" s="1"/>
  <c r="R177" s="1"/>
  <c r="S177" s="1"/>
  <c r="T177" s="1"/>
  <c r="U177" s="1"/>
  <c r="V177" s="1"/>
  <c r="W177" s="1"/>
  <c r="X177" s="1"/>
  <c r="F203"/>
  <c r="G203" s="1"/>
  <c r="H203" s="1"/>
  <c r="I203" s="1"/>
  <c r="J203" s="1"/>
  <c r="K203" s="1"/>
  <c r="L203" s="1"/>
  <c r="M203" s="1"/>
  <c r="N203" s="1"/>
  <c r="O203" s="1"/>
  <c r="P203" s="1"/>
  <c r="Q203" s="1"/>
  <c r="R203" s="1"/>
  <c r="S203" s="1"/>
  <c r="T203" s="1"/>
  <c r="U203" s="1"/>
  <c r="V203" s="1"/>
  <c r="W203" s="1"/>
  <c r="X203" s="1"/>
  <c r="F190"/>
  <c r="G190" s="1"/>
  <c r="H190" s="1"/>
  <c r="I190" s="1"/>
  <c r="J190" s="1"/>
  <c r="K190" s="1"/>
  <c r="L190" s="1"/>
  <c r="M190" s="1"/>
  <c r="N190" s="1"/>
  <c r="O190" s="1"/>
  <c r="P190" s="1"/>
  <c r="Q190" s="1"/>
  <c r="R190" s="1"/>
  <c r="S190" s="1"/>
  <c r="T190" s="1"/>
  <c r="U190" s="1"/>
  <c r="V190" s="1"/>
  <c r="W190" s="1"/>
  <c r="X190" s="1"/>
  <c r="F206"/>
  <c r="G206" s="1"/>
  <c r="H206" s="1"/>
  <c r="I206" s="1"/>
  <c r="J206" s="1"/>
  <c r="K206" s="1"/>
  <c r="L206" s="1"/>
  <c r="M206" s="1"/>
  <c r="N206" s="1"/>
  <c r="O206" s="1"/>
  <c r="P206" s="1"/>
  <c r="Q206" s="1"/>
  <c r="R206" s="1"/>
  <c r="S206" s="1"/>
  <c r="T206" s="1"/>
  <c r="U206" s="1"/>
  <c r="V206" s="1"/>
  <c r="W206" s="1"/>
  <c r="X206" s="1"/>
  <c r="F193"/>
  <c r="G193" s="1"/>
  <c r="H193" s="1"/>
  <c r="I193" s="1"/>
  <c r="J193" s="1"/>
  <c r="K193" s="1"/>
  <c r="L193" s="1"/>
  <c r="M193" s="1"/>
  <c r="N193" s="1"/>
  <c r="O193" s="1"/>
  <c r="P193" s="1"/>
  <c r="Q193" s="1"/>
  <c r="R193" s="1"/>
  <c r="S193" s="1"/>
  <c r="T193" s="1"/>
  <c r="U193" s="1"/>
  <c r="V193" s="1"/>
  <c r="W193" s="1"/>
  <c r="X193" s="1"/>
  <c r="F202"/>
  <c r="G202" s="1"/>
  <c r="H202" s="1"/>
  <c r="I202" s="1"/>
  <c r="J202" s="1"/>
  <c r="K202" s="1"/>
  <c r="L202" s="1"/>
  <c r="M202" s="1"/>
  <c r="N202" s="1"/>
  <c r="O202" s="1"/>
  <c r="P202" s="1"/>
  <c r="Q202" s="1"/>
  <c r="R202" s="1"/>
  <c r="S202" s="1"/>
  <c r="T202" s="1"/>
  <c r="U202" s="1"/>
  <c r="V202" s="1"/>
  <c r="W202" s="1"/>
  <c r="X202" s="1"/>
  <c r="H194"/>
  <c r="I194" s="1"/>
  <c r="J194" s="1"/>
  <c r="K194" s="1"/>
  <c r="L194" s="1"/>
  <c r="M194" s="1"/>
  <c r="N194" s="1"/>
  <c r="O194" s="1"/>
  <c r="P194" s="1"/>
  <c r="Q194" s="1"/>
  <c r="R194" s="1"/>
  <c r="S194" s="1"/>
  <c r="T194" s="1"/>
  <c r="U194" s="1"/>
  <c r="V194" s="1"/>
  <c r="W194" s="1"/>
  <c r="X194" s="1"/>
  <c r="F179"/>
  <c r="G179" s="1"/>
  <c r="H179" s="1"/>
  <c r="I179" s="1"/>
  <c r="J179" s="1"/>
  <c r="K179" s="1"/>
  <c r="L179" s="1"/>
  <c r="M179" s="1"/>
  <c r="N179" s="1"/>
  <c r="O179" s="1"/>
  <c r="P179" s="1"/>
  <c r="Q179" s="1"/>
  <c r="R179" s="1"/>
  <c r="S179" s="1"/>
  <c r="T179" s="1"/>
  <c r="U179" s="1"/>
  <c r="V179" s="1"/>
  <c r="W179" s="1"/>
  <c r="X179" s="1"/>
  <c r="F181"/>
  <c r="G181" s="1"/>
  <c r="H181" s="1"/>
  <c r="I181" s="1"/>
  <c r="J181" s="1"/>
  <c r="K181" s="1"/>
  <c r="L181" s="1"/>
  <c r="M181" s="1"/>
  <c r="N181" s="1"/>
  <c r="O181" s="1"/>
  <c r="P181" s="1"/>
  <c r="Q181" s="1"/>
  <c r="R181" s="1"/>
  <c r="S181" s="1"/>
  <c r="T181" s="1"/>
  <c r="U181" s="1"/>
  <c r="V181" s="1"/>
  <c r="W181" s="1"/>
  <c r="X181" s="1"/>
  <c r="G191"/>
  <c r="H191" s="1"/>
  <c r="I191" s="1"/>
  <c r="J191" s="1"/>
  <c r="K191" s="1"/>
  <c r="L191" s="1"/>
  <c r="M191" s="1"/>
  <c r="N191" s="1"/>
  <c r="O191" s="1"/>
  <c r="P191" s="1"/>
  <c r="Q191" s="1"/>
  <c r="R191" s="1"/>
  <c r="S191" s="1"/>
  <c r="T191" s="1"/>
  <c r="U191" s="1"/>
  <c r="V191" s="1"/>
  <c r="W191" s="1"/>
  <c r="X191" s="1"/>
  <c r="F204"/>
  <c r="G204" s="1"/>
  <c r="H204" s="1"/>
  <c r="I204" s="1"/>
  <c r="J204" s="1"/>
  <c r="K204" s="1"/>
  <c r="L204" s="1"/>
  <c r="M204" s="1"/>
  <c r="N204" s="1"/>
  <c r="O204" s="1"/>
  <c r="P204" s="1"/>
  <c r="Q204" s="1"/>
  <c r="R204" s="1"/>
  <c r="S204" s="1"/>
  <c r="T204" s="1"/>
  <c r="U204" s="1"/>
  <c r="V204" s="1"/>
  <c r="W204" s="1"/>
  <c r="X204" s="1"/>
  <c r="F187"/>
  <c r="G187" s="1"/>
  <c r="H187" s="1"/>
  <c r="I187" s="1"/>
  <c r="J187" s="1"/>
  <c r="K187" s="1"/>
  <c r="L187" s="1"/>
  <c r="M187" s="1"/>
  <c r="N187" s="1"/>
  <c r="O187" s="1"/>
  <c r="P187" s="1"/>
  <c r="Q187" s="1"/>
  <c r="R187" s="1"/>
  <c r="S187" s="1"/>
  <c r="T187" s="1"/>
  <c r="U187" s="1"/>
  <c r="V187" s="1"/>
  <c r="W187" s="1"/>
  <c r="X187" s="1"/>
  <c r="F178"/>
  <c r="G178" s="1"/>
  <c r="H178" s="1"/>
  <c r="I178" s="1"/>
  <c r="J178" s="1"/>
  <c r="K178" s="1"/>
  <c r="L178" s="1"/>
  <c r="M178" s="1"/>
  <c r="N178" s="1"/>
  <c r="O178" s="1"/>
  <c r="P178" s="1"/>
  <c r="Q178" s="1"/>
  <c r="R178" s="1"/>
  <c r="S178" s="1"/>
  <c r="T178" s="1"/>
  <c r="U178" s="1"/>
  <c r="V178" s="1"/>
  <c r="W178" s="1"/>
  <c r="X178" s="1"/>
  <c r="G182"/>
  <c r="H182" s="1"/>
  <c r="I182" s="1"/>
  <c r="J182" s="1"/>
  <c r="K182" s="1"/>
  <c r="L182" s="1"/>
  <c r="M182" s="1"/>
  <c r="N182" s="1"/>
  <c r="O182" s="1"/>
  <c r="P182" s="1"/>
  <c r="Q182" s="1"/>
  <c r="R182" s="1"/>
  <c r="S182" s="1"/>
  <c r="T182" s="1"/>
  <c r="U182" s="1"/>
  <c r="V182" s="1"/>
  <c r="W182" s="1"/>
  <c r="X182" s="1"/>
  <c r="F197"/>
  <c r="G197" s="1"/>
  <c r="H197" s="1"/>
  <c r="I197" s="1"/>
  <c r="J197" s="1"/>
  <c r="K197" s="1"/>
  <c r="L197" s="1"/>
  <c r="M197" s="1"/>
  <c r="N197" s="1"/>
  <c r="O197" s="1"/>
  <c r="P197" s="1"/>
  <c r="Q197" s="1"/>
  <c r="R197" s="1"/>
  <c r="S197" s="1"/>
  <c r="T197" s="1"/>
  <c r="U197" s="1"/>
  <c r="V197" s="1"/>
  <c r="W197" s="1"/>
  <c r="X197" s="1"/>
  <c r="F200"/>
  <c r="G200" s="1"/>
  <c r="H200" s="1"/>
  <c r="I200" s="1"/>
  <c r="J200" s="1"/>
  <c r="K200" s="1"/>
  <c r="L200" s="1"/>
  <c r="M200" s="1"/>
  <c r="N200" s="1"/>
  <c r="O200" s="1"/>
  <c r="P200" s="1"/>
  <c r="Q200" s="1"/>
  <c r="R200" s="1"/>
  <c r="S200" s="1"/>
  <c r="T200" s="1"/>
  <c r="U200" s="1"/>
  <c r="V200" s="1"/>
  <c r="W200" s="1"/>
  <c r="X200" s="1"/>
  <c r="O170"/>
  <c r="H186"/>
  <c r="I186" s="1"/>
  <c r="J186" s="1"/>
  <c r="K186" s="1"/>
  <c r="L186" s="1"/>
  <c r="M186" s="1"/>
  <c r="N186" s="1"/>
  <c r="O186" s="1"/>
  <c r="P186" s="1"/>
  <c r="Q186" s="1"/>
  <c r="R186" s="1"/>
  <c r="S186" s="1"/>
  <c r="T186" s="1"/>
  <c r="U186" s="1"/>
  <c r="V186" s="1"/>
  <c r="W186" s="1"/>
  <c r="X186" s="1"/>
  <c r="H183"/>
  <c r="I183" s="1"/>
  <c r="J183" s="1"/>
  <c r="K183" s="1"/>
  <c r="L183" s="1"/>
  <c r="M183" s="1"/>
  <c r="N183" s="1"/>
  <c r="O183" s="1"/>
  <c r="P183" s="1"/>
  <c r="Q183" s="1"/>
  <c r="R183" s="1"/>
  <c r="S183" s="1"/>
  <c r="T183" s="1"/>
  <c r="U183" s="1"/>
  <c r="V183" s="1"/>
  <c r="W183" s="1"/>
  <c r="X183" s="1"/>
  <c r="P170"/>
  <c r="S170"/>
  <c r="J170"/>
  <c r="X170"/>
  <c r="K170"/>
  <c r="Q170"/>
  <c r="G201"/>
  <c r="H201" s="1"/>
  <c r="I201" s="1"/>
  <c r="J201" s="1"/>
  <c r="K201" s="1"/>
  <c r="L201" s="1"/>
  <c r="M201" s="1"/>
  <c r="N201" s="1"/>
  <c r="O201" s="1"/>
  <c r="P201" s="1"/>
  <c r="Q201" s="1"/>
  <c r="R201" s="1"/>
  <c r="S201" s="1"/>
  <c r="T201" s="1"/>
  <c r="U201" s="1"/>
  <c r="V201" s="1"/>
  <c r="W201" s="1"/>
  <c r="X201" s="1"/>
  <c r="L170"/>
  <c r="G198"/>
  <c r="H198" s="1"/>
  <c r="I198" s="1"/>
  <c r="J198" s="1"/>
  <c r="K198" s="1"/>
  <c r="L198" s="1"/>
  <c r="M198" s="1"/>
  <c r="N198" s="1"/>
  <c r="O198" s="1"/>
  <c r="P198" s="1"/>
  <c r="Q198" s="1"/>
  <c r="R198" s="1"/>
  <c r="S198" s="1"/>
  <c r="T198" s="1"/>
  <c r="U198" s="1"/>
  <c r="V198" s="1"/>
  <c r="W198" s="1"/>
  <c r="X198" s="1"/>
  <c r="F170"/>
  <c r="H170"/>
  <c r="G170"/>
  <c r="W170"/>
  <c r="H184"/>
  <c r="I184" s="1"/>
  <c r="J184" s="1"/>
  <c r="K184" s="1"/>
  <c r="L184" s="1"/>
  <c r="M184" s="1"/>
  <c r="N184" s="1"/>
  <c r="O184" s="1"/>
  <c r="P184" s="1"/>
  <c r="Q184" s="1"/>
  <c r="R184" s="1"/>
  <c r="S184" s="1"/>
  <c r="T184" s="1"/>
  <c r="U184" s="1"/>
  <c r="V184" s="1"/>
  <c r="W184" s="1"/>
  <c r="X184" s="1"/>
  <c r="N170"/>
  <c r="M170"/>
  <c r="I170"/>
  <c r="R170"/>
  <c r="T170"/>
  <c r="V170"/>
  <c r="U170"/>
  <c r="H69"/>
  <c r="G74"/>
  <c r="F176"/>
  <c r="E209"/>
  <c r="G207"/>
  <c r="H207" s="1"/>
  <c r="I207" s="1"/>
  <c r="J207" s="1"/>
  <c r="K207" s="1"/>
  <c r="L207" s="1"/>
  <c r="M207" s="1"/>
  <c r="N207" s="1"/>
  <c r="O207" s="1"/>
  <c r="P207" s="1"/>
  <c r="Q207" s="1"/>
  <c r="R207" s="1"/>
  <c r="S207" s="1"/>
  <c r="T207" s="1"/>
  <c r="U207" s="1"/>
  <c r="V207" s="1"/>
  <c r="W207" s="1"/>
  <c r="X207" s="1"/>
  <c r="F205"/>
  <c r="G205" s="1"/>
  <c r="H205" s="1"/>
  <c r="I205" s="1"/>
  <c r="J205" s="1"/>
  <c r="K205" s="1"/>
  <c r="L205" s="1"/>
  <c r="M205" s="1"/>
  <c r="N205" s="1"/>
  <c r="O205" s="1"/>
  <c r="P205" s="1"/>
  <c r="Q205" s="1"/>
  <c r="R205" s="1"/>
  <c r="S205" s="1"/>
  <c r="T205" s="1"/>
  <c r="U205" s="1"/>
  <c r="V205" s="1"/>
  <c r="W205" s="1"/>
  <c r="X205" s="1"/>
  <c r="E170"/>
  <c r="E171" s="1"/>
  <c r="F195"/>
  <c r="G195" s="1"/>
  <c r="H195" s="1"/>
  <c r="I195" s="1"/>
  <c r="J195" s="1"/>
  <c r="K195" s="1"/>
  <c r="L195" s="1"/>
  <c r="M195" s="1"/>
  <c r="N195" s="1"/>
  <c r="O195" s="1"/>
  <c r="P195" s="1"/>
  <c r="Q195" s="1"/>
  <c r="R195" s="1"/>
  <c r="S195" s="1"/>
  <c r="T195" s="1"/>
  <c r="U195" s="1"/>
  <c r="V195" s="1"/>
  <c r="W195" s="1"/>
  <c r="X195" s="1"/>
  <c r="G180"/>
  <c r="H180" s="1"/>
  <c r="I180" s="1"/>
  <c r="J180" s="1"/>
  <c r="K180" s="1"/>
  <c r="L180" s="1"/>
  <c r="M180" s="1"/>
  <c r="N180" s="1"/>
  <c r="O180" s="1"/>
  <c r="P180" s="1"/>
  <c r="Q180" s="1"/>
  <c r="R180" s="1"/>
  <c r="S180" s="1"/>
  <c r="T180" s="1"/>
  <c r="U180" s="1"/>
  <c r="V180" s="1"/>
  <c r="W180" s="1"/>
  <c r="X180" s="1"/>
  <c r="F171" l="1"/>
  <c r="G171" s="1"/>
  <c r="H171" s="1"/>
  <c r="I171" s="1"/>
  <c r="J171" s="1"/>
  <c r="K171" s="1"/>
  <c r="L171" s="1"/>
  <c r="M171" s="1"/>
  <c r="N171" s="1"/>
  <c r="O171" s="1"/>
  <c r="P171" s="1"/>
  <c r="Q171" s="1"/>
  <c r="R171" s="1"/>
  <c r="S171" s="1"/>
  <c r="T171" s="1"/>
  <c r="U171" s="1"/>
  <c r="V171" s="1"/>
  <c r="W171" s="1"/>
  <c r="X171" s="1"/>
  <c r="I69"/>
  <c r="H74"/>
  <c r="G176"/>
  <c r="F209"/>
  <c r="I74" l="1"/>
  <c r="J69"/>
  <c r="H176"/>
  <c r="G209"/>
  <c r="K69" l="1"/>
  <c r="J74"/>
  <c r="I176"/>
  <c r="H209"/>
  <c r="I209" l="1"/>
  <c r="J176"/>
  <c r="K74"/>
  <c r="L69"/>
  <c r="M69" l="1"/>
  <c r="L74"/>
  <c r="J209"/>
  <c r="K176"/>
  <c r="N69" l="1"/>
  <c r="M74"/>
  <c r="K209"/>
  <c r="L176"/>
  <c r="O69" l="1"/>
  <c r="N74"/>
  <c r="M176"/>
  <c r="L209"/>
  <c r="N176" l="1"/>
  <c r="M209"/>
  <c r="O74"/>
  <c r="P69"/>
  <c r="N209" l="1"/>
  <c r="O176"/>
  <c r="Q69"/>
  <c r="P74"/>
  <c r="O209" l="1"/>
  <c r="P176"/>
  <c r="R69"/>
  <c r="Q74"/>
  <c r="P209" l="1"/>
  <c r="Q176"/>
  <c r="S69"/>
  <c r="R74"/>
  <c r="Q209" l="1"/>
  <c r="R176"/>
  <c r="T69"/>
  <c r="S74"/>
  <c r="T74" l="1"/>
  <c r="U69"/>
  <c r="S176"/>
  <c r="R209"/>
  <c r="T176" l="1"/>
  <c r="S209"/>
  <c r="U74"/>
  <c r="V69"/>
  <c r="U176" l="1"/>
  <c r="T209"/>
  <c r="W69"/>
  <c r="V74"/>
  <c r="W74" l="1"/>
  <c r="X69"/>
  <c r="X74" s="1"/>
  <c r="V176"/>
  <c r="U209"/>
  <c r="V209" l="1"/>
  <c r="W176"/>
  <c r="X176" l="1"/>
  <c r="X209" s="1"/>
  <c r="W209"/>
</calcChain>
</file>

<file path=xl/comments1.xml><?xml version="1.0" encoding="utf-8"?>
<comments xmlns="http://schemas.openxmlformats.org/spreadsheetml/2006/main">
  <authors>
    <author>Mike Baker</author>
    <author>Nick O'Neil</author>
  </authors>
  <commentList>
    <comment ref="A15" authorId="0">
      <text>
        <r>
          <rPr>
            <sz val="9"/>
            <color indexed="81"/>
            <rFont val="Tahoma"/>
            <family val="2"/>
          </rPr>
          <t>These workbooks are available on the RTF website. If you cannot find them contact RTF staff.</t>
        </r>
      </text>
    </comment>
    <comment ref="B25" authorId="0">
      <text>
        <r>
          <rPr>
            <sz val="9"/>
            <color indexed="81"/>
            <rFont val="Tahoma"/>
            <family val="2"/>
          </rPr>
          <t xml:space="preserve">Show the actual values used, unless they are too numerous. In those cases, cite the sheet, plot or table where the values can be found. When practical, use an expression to link values to the source cell used in computing savings, so that it will automatically update if the values used in computing savings change. Add text needed to clarify the scope, e.g., "single-wide" and units, e.g., "square feet" for each value. </t>
        </r>
      </text>
    </comment>
    <comment ref="B34" authorId="0">
      <text>
        <r>
          <rPr>
            <sz val="9"/>
            <color indexed="81"/>
            <rFont val="Tahoma"/>
            <family val="2"/>
          </rPr>
          <t xml:space="preserve">Separate and additive Savings Components should be used if the savings come from more than one component of the affected systems, e.g., cooling and heating, and it is technically practical.  Some estimation methods, such as experimental designs (comparing participant and non-participant energy use) may not allow this. </t>
        </r>
      </text>
    </comment>
    <comment ref="C34" authorId="0">
      <text>
        <r>
          <rPr>
            <sz val="9"/>
            <color indexed="81"/>
            <rFont val="Tahoma"/>
            <family val="2"/>
          </rPr>
          <t xml:space="preserve">For simple methods, describe the equation(s) using the exact spelling of the constants and parameters defined above and format as </t>
        </r>
        <r>
          <rPr>
            <b/>
            <sz val="9"/>
            <color indexed="81"/>
            <rFont val="Tahoma"/>
            <family val="2"/>
          </rPr>
          <t>bold</t>
        </r>
        <r>
          <rPr>
            <sz val="9"/>
            <color indexed="81"/>
            <rFont val="Tahoma"/>
            <family val="2"/>
          </rPr>
          <t xml:space="preserve">. If weighted average values are used describe the weighting method. If model calibration is performed, summarize the calibration procedure.
</t>
        </r>
      </text>
    </comment>
    <comment ref="A40" authorId="0">
      <text>
        <r>
          <rPr>
            <sz val="9"/>
            <color indexed="81"/>
            <rFont val="Tahoma"/>
            <family val="2"/>
          </rPr>
          <t>Costs may vary across applications of the measure defined by the measure identifiers (shown above), e.g., housing type.  If so, use this column to list the identifiers associated with each Analysis Approach.  At least one CostDataAnalysis sheet must be included that shows the derivation of each unique cost (capital and O&amp;M) value, consistent with the analysis approach(es).</t>
        </r>
      </text>
    </comment>
    <comment ref="H40" authorId="0">
      <text>
        <r>
          <rPr>
            <sz val="9"/>
            <color indexed="81"/>
            <rFont val="Tahoma"/>
            <family val="2"/>
          </rPr>
          <t>Analyst's best judgment about the level of uncertainty for each cost/benefit by measure identifier.  Can be expressed as +/- % or as high, medium, low.</t>
        </r>
      </text>
    </comment>
    <comment ref="B41" authorId="0">
      <text>
        <r>
          <rPr>
            <sz val="9"/>
            <color indexed="81"/>
            <rFont val="Tahoma"/>
            <family val="2"/>
          </rPr>
          <t xml:space="preserve">Added to the ProCost input "Capital Cost"
</t>
        </r>
      </text>
    </comment>
    <comment ref="B44" authorId="0">
      <text>
        <r>
          <rPr>
            <sz val="9"/>
            <color indexed="81"/>
            <rFont val="Tahoma"/>
            <family val="2"/>
          </rPr>
          <t>Added to the ProCost input "Annual O&amp;M"</t>
        </r>
      </text>
    </comment>
    <comment ref="B47" authorId="0">
      <text>
        <r>
          <rPr>
            <sz val="9"/>
            <color indexed="81"/>
            <rFont val="Tahoma"/>
            <family val="2"/>
          </rPr>
          <t>Added to the ProCost input "Annual O&amp;M"</t>
        </r>
      </text>
    </comment>
    <comment ref="B50" authorId="0">
      <text>
        <r>
          <rPr>
            <sz val="9"/>
            <color indexed="81"/>
            <rFont val="Tahoma"/>
            <family val="2"/>
          </rPr>
          <t xml:space="preserve">Basis for the ProCost input "Non-E Val ($/yr)"
</t>
        </r>
      </text>
    </comment>
    <comment ref="B53" authorId="0">
      <text>
        <r>
          <rPr>
            <sz val="9"/>
            <color indexed="81"/>
            <rFont val="Tahoma"/>
            <family val="2"/>
          </rPr>
          <t>By default, these are not considered. Provide justification if you are considering their inclusion within the analysis</t>
        </r>
      </text>
    </comment>
    <comment ref="A56" authorId="0">
      <text>
        <r>
          <rPr>
            <sz val="9"/>
            <color indexed="81"/>
            <rFont val="Tahoma"/>
            <family val="2"/>
          </rPr>
          <t>Measure lifetime may vary across applications of the measure defined by the measure identifiers (shown above), e.g., climate zone.  If so, use this column to list the identifiers associated with each Analysis Approach.  At least one LifetimeDataAnalysis sheet must be included that shows the derivation of each unique lifetime value, consistent with analysis approach(es).</t>
        </r>
      </text>
    </comment>
    <comment ref="H56" authorId="1">
      <text>
        <r>
          <rPr>
            <sz val="9"/>
            <color indexed="81"/>
            <rFont val="Tahoma"/>
            <family val="2"/>
          </rPr>
          <t xml:space="preserve">Analyst's best judgment about the level of uncertainty for each measure identifier.  Can be expressed as +/- % or as high, medium, low.
</t>
        </r>
      </text>
    </comment>
  </commentList>
</comments>
</file>

<file path=xl/comments2.xml><?xml version="1.0" encoding="utf-8"?>
<comments xmlns="http://schemas.openxmlformats.org/spreadsheetml/2006/main">
  <authors>
    <author>Tom Eckman</author>
    <author>Nick O'Neil</author>
  </authors>
  <commentList>
    <comment ref="B7" authorId="0">
      <text>
        <r>
          <rPr>
            <b/>
            <sz val="8"/>
            <color indexed="81"/>
            <rFont val="Tahoma"/>
            <family val="2"/>
          </rPr>
          <t>Tom Eckman:</t>
        </r>
        <r>
          <rPr>
            <sz val="8"/>
            <color indexed="81"/>
            <rFont val="Tahoma"/>
            <family val="2"/>
          </rPr>
          <t xml:space="preserve">
Name used for measure in ProCost model. Name may be different (usually parsed) in BPA reporting system. </t>
        </r>
      </text>
    </comment>
    <comment ref="G7" authorId="0">
      <text>
        <r>
          <rPr>
            <b/>
            <sz val="8"/>
            <color indexed="81"/>
            <rFont val="Tahoma"/>
            <family val="2"/>
          </rPr>
          <t>Tom Eckman:</t>
        </r>
        <r>
          <rPr>
            <sz val="8"/>
            <color indexed="81"/>
            <rFont val="Tahoma"/>
            <family val="2"/>
          </rPr>
          <t xml:space="preserve">
Lost opportunity = Measure's that have limited window for installation (e.g., new construction shell measures); Non-lost opportunity = retrofit measures</t>
        </r>
      </text>
    </comment>
    <comment ref="H7" authorId="0">
      <text>
        <r>
          <rPr>
            <b/>
            <sz val="8"/>
            <color indexed="81"/>
            <rFont val="Tahoma"/>
            <family val="2"/>
          </rPr>
          <t>Tom Eckman:</t>
        </r>
        <r>
          <rPr>
            <sz val="8"/>
            <color indexed="81"/>
            <rFont val="Tahoma"/>
            <family val="2"/>
          </rPr>
          <t xml:space="preserve">
Set limits on location (climate zone) where measure is applicable.</t>
        </r>
      </text>
    </comment>
    <comment ref="I7" authorId="0">
      <text>
        <r>
          <rPr>
            <b/>
            <sz val="8"/>
            <color indexed="81"/>
            <rFont val="Tahoma"/>
            <family val="2"/>
          </rPr>
          <t>Tom Eckman:</t>
        </r>
        <r>
          <rPr>
            <sz val="8"/>
            <color indexed="81"/>
            <rFont val="Tahoma"/>
            <family val="2"/>
          </rPr>
          <t xml:space="preserve">
Set limits on location (climate zone) where measure is applicable.</t>
        </r>
      </text>
    </comment>
    <comment ref="J7" authorId="0">
      <text>
        <r>
          <rPr>
            <b/>
            <sz val="8"/>
            <color indexed="81"/>
            <rFont val="Tahoma"/>
            <family val="2"/>
          </rPr>
          <t xml:space="preserve">Tom Eckman: </t>
        </r>
        <r>
          <rPr>
            <sz val="8"/>
            <color indexed="81"/>
            <rFont val="Tahoma"/>
            <family val="2"/>
          </rPr>
          <t>Annual gross savings on customer side of meter. Does not include line losses or "net-to-gross" adjustments for free-ridership/spillover. May include adjustment for differences between ex ante and ex post savings estimates (i.e.,  "realization rates" if for deemed and deemed calculated measures when savings are based on prior program evaluations.</t>
        </r>
      </text>
    </comment>
    <comment ref="K7" authorId="0">
      <text>
        <r>
          <rPr>
            <b/>
            <sz val="8"/>
            <color indexed="81"/>
            <rFont val="Tahoma"/>
            <family val="2"/>
          </rPr>
          <t xml:space="preserve">Tom Eckman:  </t>
        </r>
        <r>
          <rPr>
            <sz val="8"/>
            <color indexed="81"/>
            <rFont val="Tahoma"/>
            <family val="2"/>
          </rPr>
          <t>Site savings "grossed up" to account for marginal transmission and distribution system line losses. These are the power system savings.</t>
        </r>
        <r>
          <rPr>
            <sz val="8"/>
            <color indexed="81"/>
            <rFont val="Tahoma"/>
            <family val="2"/>
          </rPr>
          <t xml:space="preserve">
</t>
        </r>
      </text>
    </comment>
    <comment ref="L7" authorId="0">
      <text>
        <r>
          <rPr>
            <b/>
            <sz val="8"/>
            <color indexed="81"/>
            <rFont val="Tahoma"/>
            <family val="2"/>
          </rPr>
          <t>Tom Eckman:</t>
        </r>
        <r>
          <rPr>
            <sz val="8"/>
            <color indexed="81"/>
            <rFont val="Tahoma"/>
            <family val="2"/>
          </rPr>
          <t xml:space="preserve">
Difference in first cost between baseline efficiency and energy efficient measure, regardless of who pays those cost. Does not include marketing or administrative cost.</t>
        </r>
      </text>
    </comment>
    <comment ref="M7" authorId="0">
      <text>
        <r>
          <rPr>
            <b/>
            <sz val="8"/>
            <color indexed="81"/>
            <rFont val="Tahoma"/>
            <family val="2"/>
          </rPr>
          <t>Tom Eckman:</t>
        </r>
        <r>
          <rPr>
            <sz val="8"/>
            <color indexed="81"/>
            <rFont val="Tahoma"/>
            <family val="2"/>
          </rPr>
          <t xml:space="preserve">
Difference in annual operation and maintenance cost between baseline efficiency and energy efficient measure, regardless of who pays those cost. Does not include marketing or administrative cost.</t>
        </r>
      </text>
    </comment>
    <comment ref="N7" authorId="0">
      <text>
        <r>
          <rPr>
            <b/>
            <sz val="8"/>
            <color indexed="81"/>
            <rFont val="Tahoma"/>
            <family val="2"/>
          </rPr>
          <t>Tom Eckman:</t>
        </r>
        <r>
          <rPr>
            <sz val="8"/>
            <color indexed="81"/>
            <rFont val="Tahoma"/>
            <family val="2"/>
          </rPr>
          <t xml:space="preserve">
Expected mean functional life of measure, sometimes referred to as "Effective Useful Life (EUL)</t>
        </r>
      </text>
    </comment>
    <comment ref="O7" authorId="0">
      <text>
        <r>
          <rPr>
            <b/>
            <sz val="8"/>
            <color indexed="81"/>
            <rFont val="Tahoma"/>
            <family val="2"/>
          </rPr>
          <t>Tom Eckman:</t>
        </r>
        <r>
          <rPr>
            <sz val="8"/>
            <color indexed="81"/>
            <rFont val="Tahoma"/>
            <family val="2"/>
          </rPr>
          <t xml:space="preserve">
Ratio of discounted present value of societal benefits to discounted present value societal costs. Also referred to as "Total Resource Cost" (TRC) benefit-to-cost ratio.</t>
        </r>
      </text>
    </comment>
    <comment ref="P7" authorId="0">
      <text>
        <r>
          <rPr>
            <b/>
            <sz val="8"/>
            <color indexed="81"/>
            <rFont val="Tahoma"/>
            <family val="2"/>
          </rPr>
          <t>Tom Eckman:</t>
        </r>
        <r>
          <rPr>
            <sz val="8"/>
            <color indexed="81"/>
            <rFont val="Tahoma"/>
            <family val="2"/>
          </rPr>
          <t xml:space="preserve">
If Societal Benefit-to-Cost Ratio (TRC B/C ratio) is equal to or exceeds 1.0 measure is cost-effective.</t>
        </r>
      </text>
    </comment>
    <comment ref="Q7" authorId="0">
      <text>
        <r>
          <rPr>
            <b/>
            <sz val="8"/>
            <color indexed="81"/>
            <rFont val="Tahoma"/>
            <family val="2"/>
          </rPr>
          <t>Tom Eckman:</t>
        </r>
        <r>
          <rPr>
            <sz val="8"/>
            <color indexed="81"/>
            <rFont val="Tahoma"/>
            <family val="2"/>
          </rPr>
          <t xml:space="preserve">
Tracking unit (e.g. per sq. ft., per appliance, per home, per heat pump)</t>
        </r>
      </text>
    </comment>
    <comment ref="R7" authorId="0">
      <text>
        <r>
          <rPr>
            <b/>
            <sz val="8"/>
            <color indexed="81"/>
            <rFont val="Tahoma"/>
            <family val="2"/>
          </rPr>
          <t>Tom Eckman:</t>
        </r>
        <r>
          <rPr>
            <sz val="8"/>
            <color indexed="81"/>
            <rFont val="Tahoma"/>
            <family val="2"/>
          </rPr>
          <t xml:space="preserve">
Description of building type in which measure is applicable</t>
        </r>
      </text>
    </comment>
    <comment ref="S7" authorId="0">
      <text>
        <r>
          <rPr>
            <b/>
            <sz val="8"/>
            <color indexed="81"/>
            <rFont val="Tahoma"/>
            <family val="2"/>
          </rPr>
          <t>Tom Eckman:</t>
        </r>
        <r>
          <rPr>
            <sz val="8"/>
            <color indexed="81"/>
            <rFont val="Tahoma"/>
            <family val="2"/>
          </rPr>
          <t xml:space="preserve">
Vintage of building or application in which measure is applicable</t>
        </r>
      </text>
    </comment>
    <comment ref="T7" authorId="1">
      <text>
        <r>
          <rPr>
            <b/>
            <sz val="9"/>
            <color indexed="81"/>
            <rFont val="Tahoma"/>
            <family val="2"/>
          </rPr>
          <t>Nick O'Neil:</t>
        </r>
        <r>
          <rPr>
            <sz val="9"/>
            <color indexed="81"/>
            <rFont val="Tahoma"/>
            <family val="2"/>
          </rPr>
          <t xml:space="preserve">
Area to enter measure specification and eligibility requirements.</t>
        </r>
      </text>
    </comment>
    <comment ref="U7" authorId="1">
      <text>
        <r>
          <rPr>
            <b/>
            <sz val="9"/>
            <color indexed="81"/>
            <rFont val="Tahoma"/>
            <family val="2"/>
          </rPr>
          <t>Nick O'Neil:</t>
        </r>
        <r>
          <rPr>
            <sz val="9"/>
            <color indexed="81"/>
            <rFont val="Tahoma"/>
            <family val="2"/>
          </rPr>
          <t xml:space="preserve">
Left for user input on various measure attributes (e.g. fuel type, motor size, volume, efficiency level, etc.)</t>
        </r>
      </text>
    </comment>
    <comment ref="V7" authorId="1">
      <text>
        <r>
          <rPr>
            <b/>
            <sz val="9"/>
            <color indexed="81"/>
            <rFont val="Tahoma"/>
            <family val="2"/>
          </rPr>
          <t>Nick O'Neil:</t>
        </r>
        <r>
          <rPr>
            <sz val="9"/>
            <color indexed="81"/>
            <rFont val="Tahoma"/>
            <family val="2"/>
          </rPr>
          <t xml:space="preserve">
Left for user input on various measure attributes (e.g. fuel type, motor size, volume, efficiency level, etc.)</t>
        </r>
      </text>
    </comment>
    <comment ref="W7" authorId="0">
      <text>
        <r>
          <rPr>
            <b/>
            <sz val="8"/>
            <color indexed="81"/>
            <rFont val="Tahoma"/>
            <family val="2"/>
          </rPr>
          <t>Tom Eckman:</t>
        </r>
        <r>
          <rPr>
            <sz val="8"/>
            <color indexed="81"/>
            <rFont val="Tahoma"/>
            <family val="2"/>
          </rPr>
          <t xml:space="preserve">
Description of mechanism by which measure is delivered. Specifies conditions under which measure savings can be claimed as UES including program technical specification.</t>
        </r>
      </text>
    </comment>
    <comment ref="X7" authorId="0">
      <text>
        <r>
          <rPr>
            <b/>
            <sz val="8"/>
            <color indexed="81"/>
            <rFont val="Tahoma"/>
            <family val="2"/>
          </rPr>
          <t>Tom Eckman:</t>
        </r>
        <r>
          <rPr>
            <sz val="8"/>
            <color indexed="81"/>
            <rFont val="Tahoma"/>
            <family val="2"/>
          </rPr>
          <t xml:space="preserve">
Special notes regarding factors that might impact a particular technology, measure or practices cost, savings or use. For example, potential changes in federal standards or local codes or anticipated improvements in technology.</t>
        </r>
      </text>
    </comment>
  </commentList>
</comments>
</file>

<file path=xl/comments3.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s>
  <commentList>
    <comment ref="AZ5"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BF5"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R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AS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AT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AU6" authorId="0">
      <text>
        <r>
          <rPr>
            <b/>
            <sz val="8"/>
            <color indexed="81"/>
            <rFont val="Tahoma"/>
            <family val="2"/>
          </rPr>
          <t xml:space="preserve"> :ProCost</t>
        </r>
        <r>
          <rPr>
            <sz val="8"/>
            <color indexed="81"/>
            <rFont val="Tahoma"/>
            <family val="2"/>
          </rPr>
          <t xml:space="preserve">
Physical life of the measure in years.  Must be &gt;=1.</t>
        </r>
      </text>
    </comment>
    <comment ref="AV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AW6"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AX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AY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AZ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BA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BB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BC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BD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BE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BF6" authorId="0">
      <text>
        <r>
          <rPr>
            <b/>
            <sz val="8"/>
            <color indexed="81"/>
            <rFont val="Tahoma"/>
            <family val="2"/>
          </rPr>
          <t xml:space="preserve"> :</t>
        </r>
        <r>
          <rPr>
            <sz val="8"/>
            <color indexed="81"/>
            <rFont val="Tahoma"/>
            <family val="2"/>
          </rPr>
          <t xml:space="preserve">
Annual gas savings, or increases, in therms.</t>
        </r>
      </text>
    </comment>
    <comment ref="BG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sharedStrings.xml><?xml version="1.0" encoding="utf-8"?>
<sst xmlns="http://schemas.openxmlformats.org/spreadsheetml/2006/main" count="1627" uniqueCount="970">
  <si>
    <t>Financial Life (years)</t>
  </si>
  <si>
    <t>Input Cost Reference Year</t>
  </si>
  <si>
    <t>Costs must be denominated in the same year as 'Input Cost Reference Year' =</t>
  </si>
  <si>
    <t xml:space="preserve">Repeat Periodic Replacement </t>
  </si>
  <si>
    <t>Periodic Replacement Costs and Savings and Replacement Period</t>
  </si>
  <si>
    <t>Savings (therms/yr)</t>
  </si>
  <si>
    <t>Customer</t>
  </si>
  <si>
    <t>Negative B/C Ratios</t>
  </si>
  <si>
    <t>Admin Cost @ Category Level</t>
  </si>
  <si>
    <t>Bulk System T&amp;D Credit ($/kw-yr)($/dailytherm-yr)</t>
  </si>
  <si>
    <t>Local System Dist Credit ($/kw-yr)($/dailytherm-yr)</t>
  </si>
  <si>
    <t>CO2 lbs per therm</t>
  </si>
  <si>
    <t>Sponsor Share of Admin Cost</t>
  </si>
  <si>
    <t>Sponsor Share of Periodic Replacement Cost</t>
  </si>
  <si>
    <t>Sponsor Share of Annual O&amp;M</t>
  </si>
  <si>
    <t xml:space="preserve">Sponsor Share of Initial Capital Cost </t>
  </si>
  <si>
    <t>Real After-Tax Cost of Capital</t>
  </si>
  <si>
    <t>Report Annual Carbon Saved for Year</t>
  </si>
  <si>
    <t>Input Data</t>
  </si>
  <si>
    <t>Category Name</t>
  </si>
  <si>
    <t>Measure Name</t>
  </si>
  <si>
    <t>Shape Pointer</t>
  </si>
  <si>
    <t>Cost 1 ($)</t>
  </si>
  <si>
    <t xml:space="preserve">Period 1 </t>
  </si>
  <si>
    <t>Cost 2 ($)</t>
  </si>
  <si>
    <t>Period 2</t>
  </si>
  <si>
    <t>Cost 3 ($)</t>
  </si>
  <si>
    <t>Period 3</t>
  </si>
  <si>
    <t>Data Set Name</t>
  </si>
  <si>
    <t>Savings (kwh/yr)</t>
  </si>
  <si>
    <t>Life (yrs)</t>
  </si>
  <si>
    <t>Capital Cost</t>
  </si>
  <si>
    <t>Annual O&amp;M</t>
  </si>
  <si>
    <t>Non-E Val ($/yr)</t>
  </si>
  <si>
    <t>Capital Real Escalation Rate</t>
  </si>
  <si>
    <t>Marginal Costs and Savings Shape File</t>
  </si>
  <si>
    <t>Electric</t>
  </si>
  <si>
    <t>Gas</t>
  </si>
  <si>
    <t>Run Parameters</t>
  </si>
  <si>
    <t>Run Type</t>
  </si>
  <si>
    <t>Gas Inputs</t>
  </si>
  <si>
    <t>Measure Index Name</t>
  </si>
  <si>
    <t>Program Parameters</t>
  </si>
  <si>
    <t>Sponsor Parameters</t>
  </si>
  <si>
    <t>Program Life (yrs)</t>
  </si>
  <si>
    <t>Program Start Date</t>
  </si>
  <si>
    <t>Present Value Time Zero</t>
  </si>
  <si>
    <t>Real Discount Rate</t>
  </si>
  <si>
    <t>Regional Act Conservation Credit (%)</t>
  </si>
  <si>
    <t>Marginal Cost &amp; Conservation Load Shape Parameters</t>
  </si>
  <si>
    <t>Utility System Parameters</t>
  </si>
  <si>
    <t>Zero Dollars per ton CO2</t>
  </si>
  <si>
    <t>LineLossShapes</t>
  </si>
  <si>
    <t>6P MidC Final (with carbon)</t>
  </si>
  <si>
    <t>6P_Gas_Final</t>
  </si>
  <si>
    <t>Last Year of Non-Customer O&amp;M &amp; Period Replacement</t>
  </si>
  <si>
    <t>ProCost Results</t>
  </si>
  <si>
    <t>Marginal Elec Avoided Cost Input Worksheet</t>
  </si>
  <si>
    <t>Elec Savings Shape Input Worksheet</t>
  </si>
  <si>
    <t>Marginal Gas Avoided Cost Input Worksheet</t>
  </si>
  <si>
    <t>Gas Savings Shape Input Worksheet</t>
  </si>
  <si>
    <t>Marginal Elec CO2 per kWh Input Worksheet</t>
  </si>
  <si>
    <t>Marginal Gas CO2 per therm Input Worksheet</t>
  </si>
  <si>
    <t>Marginal Avoided Cost CO2 Input Worksheet</t>
  </si>
  <si>
    <t>Line Loss Shape Input Worksheet</t>
  </si>
  <si>
    <t>Measure Results; Sorted in same order as input</t>
  </si>
  <si>
    <t>Savings</t>
  </si>
  <si>
    <t>Category</t>
  </si>
  <si>
    <t>Category Results; Sorted by TRC Levelized Cost</t>
  </si>
  <si>
    <t>Supply Curve Results; Categories sorted by TRC Net Levelized Cost</t>
  </si>
  <si>
    <t>Residential</t>
  </si>
  <si>
    <t>Commercial</t>
  </si>
  <si>
    <t>Industrial</t>
  </si>
  <si>
    <t>ID_Sector</t>
  </si>
  <si>
    <t>ID_Cat</t>
  </si>
  <si>
    <t>ProcostMeasureName</t>
  </si>
  <si>
    <t>ID_Unit</t>
  </si>
  <si>
    <t>ID_BldgType</t>
  </si>
  <si>
    <t>ID_Vintage</t>
  </si>
  <si>
    <t>Delivery Mechanism or Program</t>
  </si>
  <si>
    <t>Application</t>
  </si>
  <si>
    <t>ID_Application</t>
  </si>
  <si>
    <t>Lost Opportunity</t>
  </si>
  <si>
    <t>Incremental Capital Cost ($/unit)</t>
  </si>
  <si>
    <t>Incremental O&amp;M Costs and Schedule ($/unit)</t>
  </si>
  <si>
    <t>Measure Life (years)</t>
  </si>
  <si>
    <t>Annual Savings @ Site (kWh/yr)</t>
  </si>
  <si>
    <t>Annual Savings @ Busbar (kwh/yr)</t>
  </si>
  <si>
    <t>Regional Benefit / Cost Ratio</t>
  </si>
  <si>
    <t>Comments</t>
  </si>
  <si>
    <t>Cost Effective?</t>
  </si>
  <si>
    <t>Measure and Program Data</t>
  </si>
  <si>
    <t>Power System Benefits and Costs</t>
  </si>
  <si>
    <t>Program Data</t>
  </si>
  <si>
    <t>Sector</t>
  </si>
  <si>
    <t>Unit Type</t>
  </si>
  <si>
    <t>Building Type</t>
  </si>
  <si>
    <t>Vintage</t>
  </si>
  <si>
    <t>Lost Opportunity?</t>
  </si>
  <si>
    <t>Incremental O&amp;M Costs ($/unit)</t>
  </si>
  <si>
    <t>Annual Savings @ Site (kwh/yr)</t>
  </si>
  <si>
    <t>Annual Savings @ Generator Busbar (kwh/yr)</t>
  </si>
  <si>
    <t>Total Societal Benefit / Cost Ratio (TRC B/C Ratio)</t>
  </si>
  <si>
    <t>Cost-Effective</t>
  </si>
  <si>
    <t>Original Measure Name</t>
  </si>
  <si>
    <t>Market Sector</t>
  </si>
  <si>
    <t>Market Segment</t>
  </si>
  <si>
    <t>Measure Identifiers</t>
  </si>
  <si>
    <t>Identifier</t>
  </si>
  <si>
    <t>Possible Values</t>
  </si>
  <si>
    <t>Further Explanation and Sources</t>
  </si>
  <si>
    <t>Constant Parameters</t>
  </si>
  <si>
    <t>Parameter</t>
  </si>
  <si>
    <t>Analysis approach</t>
  </si>
  <si>
    <t>Primary Parameter / Adjustment Factor</t>
  </si>
  <si>
    <t>Primary Workbook</t>
  </si>
  <si>
    <t>Linked Workbooks</t>
  </si>
  <si>
    <t>No External links</t>
  </si>
  <si>
    <t>F</t>
  </si>
  <si>
    <t>G</t>
  </si>
  <si>
    <t>Gas Savings</t>
  </si>
  <si>
    <t>N/A</t>
  </si>
  <si>
    <t>Early Retrofit Parameters</t>
  </si>
  <si>
    <t>Retro or LO</t>
  </si>
  <si>
    <t>Savings 2
(kWh)</t>
  </si>
  <si>
    <t>Remaining
Life (yrs)</t>
  </si>
  <si>
    <t>Salvage Value ($)</t>
  </si>
  <si>
    <t>R or L</t>
  </si>
  <si>
    <t>Bulk System T&amp;D I2R Loss Component (%)</t>
  </si>
  <si>
    <t>Local System Dist I2R Loss Component (%)</t>
  </si>
  <si>
    <t>Bulk System T&amp;D Loss Factor</t>
  </si>
  <si>
    <t>Local System Dist Loss Factor</t>
  </si>
  <si>
    <t>GLSShapes</t>
  </si>
  <si>
    <t>Off</t>
  </si>
  <si>
    <t>On</t>
  </si>
  <si>
    <t>Admin Cost (as % of Initial Capital Cost)</t>
  </si>
  <si>
    <t>Risk-Mitigation Credit (mills/kWh)(mills/therm) - Lost Op.</t>
  </si>
  <si>
    <t>Risk-Mitigation Credit (mills/kWh)(mills/therm) - Retro.</t>
  </si>
  <si>
    <t>x</t>
  </si>
  <si>
    <t>Measure</t>
  </si>
  <si>
    <t>Summary of Measure Assessment Methodology and Data Sources</t>
  </si>
  <si>
    <t>Measure Properties</t>
  </si>
  <si>
    <t>Measure Specifications</t>
  </si>
  <si>
    <t>Baseline</t>
  </si>
  <si>
    <t>Estimation Method</t>
  </si>
  <si>
    <t>Estimation Procedure</t>
  </si>
  <si>
    <t>Sunset Date</t>
  </si>
  <si>
    <t>Sunset Factors</t>
  </si>
  <si>
    <t>Number of Measure Applications</t>
  </si>
  <si>
    <t>Energy Savings Estimation Method, Parameters and Data Sources</t>
  </si>
  <si>
    <t>Savings Component</t>
  </si>
  <si>
    <t>Baseline Possible Values</t>
  </si>
  <si>
    <t>Efficient Case Possible Values</t>
  </si>
  <si>
    <t>Baseline Further Explanation and Sources</t>
  </si>
  <si>
    <t>Efficient Case Further Explanation and Sources</t>
  </si>
  <si>
    <t>Measure Incremental Costs and Benefits</t>
  </si>
  <si>
    <t>Cost or Benefit</t>
  </si>
  <si>
    <t>Analysis Approach</t>
  </si>
  <si>
    <t>Data Sources</t>
  </si>
  <si>
    <t>Source Type</t>
  </si>
  <si>
    <t>Year of the Dollars</t>
  </si>
  <si>
    <t>Uncertainty Estimate</t>
  </si>
  <si>
    <t>All</t>
  </si>
  <si>
    <t>Capital</t>
  </si>
  <si>
    <t>?%</t>
  </si>
  <si>
    <t>Maintenance</t>
  </si>
  <si>
    <t>Operations - Fuel</t>
  </si>
  <si>
    <t>Operations - Non-Energy Consumables</t>
  </si>
  <si>
    <t>Other Non-Energy Impacts</t>
  </si>
  <si>
    <t>Measure Lifetime</t>
  </si>
  <si>
    <t>CostDataSourceTypes</t>
  </si>
  <si>
    <t>Guideline</t>
  </si>
  <si>
    <t>Method</t>
  </si>
  <si>
    <t>Procedure</t>
  </si>
  <si>
    <t>Response</t>
  </si>
  <si>
    <t>Program Tracking Data</t>
  </si>
  <si>
    <t>Unit Energy Savings</t>
  </si>
  <si>
    <t>Proven</t>
  </si>
  <si>
    <t>Statistical</t>
  </si>
  <si>
    <t>Yes</t>
  </si>
  <si>
    <t>Pre-Conditions</t>
  </si>
  <si>
    <t>In-Store Retail</t>
  </si>
  <si>
    <t>Cost</t>
  </si>
  <si>
    <t>Standard Protocol</t>
  </si>
  <si>
    <t>Provisional</t>
  </si>
  <si>
    <t>Meta-Statistical</t>
  </si>
  <si>
    <t>No</t>
  </si>
  <si>
    <t>Current Practice</t>
  </si>
  <si>
    <t>Contractor and Project Invoices</t>
  </si>
  <si>
    <t>Lifetime</t>
  </si>
  <si>
    <t>Custom</t>
  </si>
  <si>
    <t>Small Saver</t>
  </si>
  <si>
    <t>Calibrated Engineering</t>
  </si>
  <si>
    <t>NA</t>
  </si>
  <si>
    <t>Pre-Conditions and Current Practice</t>
  </si>
  <si>
    <t>Contractor Price Sheets</t>
  </si>
  <si>
    <t>Small and Rural</t>
  </si>
  <si>
    <t>Program Impact Evaluation</t>
  </si>
  <si>
    <t>Planning</t>
  </si>
  <si>
    <t>Online Retail</t>
  </si>
  <si>
    <t>ProCost</t>
  </si>
  <si>
    <t>DOE / Other Standard Setting Process</t>
  </si>
  <si>
    <t>Roadmap</t>
  </si>
  <si>
    <t>Contractor Interview</t>
  </si>
  <si>
    <t>Distributor Interview</t>
  </si>
  <si>
    <t>Market Actor Interviews</t>
  </si>
  <si>
    <t>Maintenance Staff Interviews</t>
  </si>
  <si>
    <t>Professional Judgment</t>
  </si>
  <si>
    <t>ID_App</t>
  </si>
  <si>
    <t>ID_EndUse</t>
  </si>
  <si>
    <t>ID_TAP</t>
  </si>
  <si>
    <t>Heating Zone</t>
  </si>
  <si>
    <t>Cooling Zone</t>
  </si>
  <si>
    <t>General Attributes 1</t>
  </si>
  <si>
    <t>General Attributes 2</t>
  </si>
  <si>
    <t>Application ID</t>
  </si>
  <si>
    <t>ProCost Full Measure Name</t>
  </si>
  <si>
    <t>End-Use</t>
  </si>
  <si>
    <t>Technology, Activity, or Practice</t>
  </si>
  <si>
    <t>LOOKUP TABLES FOR BPA REPORTING SYSTEM</t>
  </si>
  <si>
    <t>Sector Name</t>
  </si>
  <si>
    <t>End-Use Name</t>
  </si>
  <si>
    <t>Technology/Activity/Practice (TAP)</t>
  </si>
  <si>
    <t>Delivery Mechanism</t>
  </si>
  <si>
    <t>Agricultural</t>
  </si>
  <si>
    <t>HVAC</t>
  </si>
  <si>
    <t>Motors</t>
  </si>
  <si>
    <t>Motors/Drives Control Improvements (non-VFD)</t>
  </si>
  <si>
    <t>Heating Zone All</t>
  </si>
  <si>
    <t>Cooling Zone All</t>
  </si>
  <si>
    <t>per Piece of Equipment</t>
  </si>
  <si>
    <t>Warehouse</t>
  </si>
  <si>
    <t>Existing</t>
  </si>
  <si>
    <t>All delivery channels</t>
  </si>
  <si>
    <t>Measure is a small saver due to limited remaining potential.</t>
  </si>
  <si>
    <t>Compressed Air</t>
  </si>
  <si>
    <t>Capacitors</t>
  </si>
  <si>
    <t>Aerators</t>
  </si>
  <si>
    <t>Heating Zone 1</t>
  </si>
  <si>
    <t>Cooling Zone 1</t>
  </si>
  <si>
    <t>Other</t>
  </si>
  <si>
    <t>&lt; 4 stories</t>
  </si>
  <si>
    <t>Electronics</t>
  </si>
  <si>
    <t>Center Pivot System and Equipment</t>
  </si>
  <si>
    <t>Air Conditioners</t>
  </si>
  <si>
    <t>Heating Zone 2</t>
  </si>
  <si>
    <t>Cooling Zone 2</t>
  </si>
  <si>
    <t>per Apartment/Unit</t>
  </si>
  <si>
    <t>Anchor Retail</t>
  </si>
  <si>
    <t>Existing or New</t>
  </si>
  <si>
    <t>Direct Install</t>
  </si>
  <si>
    <t>Facility Distribution System</t>
  </si>
  <si>
    <t>Compressed Air System Controls</t>
  </si>
  <si>
    <t>Air Sealing</t>
  </si>
  <si>
    <t>Heating Zone 3</t>
  </si>
  <si>
    <t>Cooling Zone 3</t>
  </si>
  <si>
    <t>per CFM50 reduction</t>
  </si>
  <si>
    <t>New</t>
  </si>
  <si>
    <t>Direct Mail</t>
  </si>
  <si>
    <t>Food Preparation</t>
  </si>
  <si>
    <t>Compressed Air System Improvements</t>
  </si>
  <si>
    <t>Air-Source Heat Pumps</t>
  </si>
  <si>
    <t>per Computer Controlled</t>
  </si>
  <si>
    <t>Give-away</t>
  </si>
  <si>
    <t>Computer Technologies</t>
  </si>
  <si>
    <t>Air-Source Heat Pumps w/Duct Sealing</t>
  </si>
  <si>
    <t>Heating Zones 1&amp;2</t>
  </si>
  <si>
    <t>Cooling Zones 1&amp;2</t>
  </si>
  <si>
    <t>per Lineal foot of LED tube controlled</t>
  </si>
  <si>
    <t>Give-away &amp; mail non-request</t>
  </si>
  <si>
    <t>Utility System Efficiency</t>
  </si>
  <si>
    <t>Irrigation</t>
  </si>
  <si>
    <t>Conductors</t>
  </si>
  <si>
    <t>Air-Source Heat Pumps w/o Duct Sealing</t>
  </si>
  <si>
    <t>Heating Zones 2&amp;3</t>
  </si>
  <si>
    <t>Cooling Zones 2&amp;3</t>
  </si>
  <si>
    <t>per Linear Feet of LED</t>
  </si>
  <si>
    <t>Any Commercial Building</t>
  </si>
  <si>
    <t>Mail by-Request</t>
  </si>
  <si>
    <t>Lighting</t>
  </si>
  <si>
    <t>Cooking</t>
  </si>
  <si>
    <t>Auto Closers</t>
  </si>
  <si>
    <t>Mail by-request &amp; mail non-request</t>
  </si>
  <si>
    <t>Motors/Drives</t>
  </si>
  <si>
    <t>Dairy System Improvements</t>
  </si>
  <si>
    <t>Behavioral</t>
  </si>
  <si>
    <t>per Residence</t>
  </si>
  <si>
    <t>Mail by-request &amp; mail non-request &amp; give-away</t>
  </si>
  <si>
    <t>Delamping</t>
  </si>
  <si>
    <t>Bi-Radiant Oven</t>
  </si>
  <si>
    <t>per sq ft of floor area for each 0.1 ach reduction</t>
  </si>
  <si>
    <t>Mail non-Request</t>
  </si>
  <si>
    <t>Process Loads</t>
  </si>
  <si>
    <t>Discharge Fitting Equipment</t>
  </si>
  <si>
    <t>Blower System Improvements</t>
  </si>
  <si>
    <t>per Square feet</t>
  </si>
  <si>
    <t>Any Industrial Building</t>
  </si>
  <si>
    <t>Other distribution method</t>
  </si>
  <si>
    <t>Refrigeration</t>
  </si>
  <si>
    <t>Elevators</t>
  </si>
  <si>
    <t>Building Commissioning Improvements</t>
  </si>
  <si>
    <t>per Square feet of area insulated</t>
  </si>
  <si>
    <t>Over-the-counter</t>
  </si>
  <si>
    <t>Utility Distribution System</t>
  </si>
  <si>
    <t>Entertainment</t>
  </si>
  <si>
    <t>Built Green Home</t>
  </si>
  <si>
    <t>per Square Feet of door area</t>
  </si>
  <si>
    <t>Retail</t>
  </si>
  <si>
    <t>Utility Generation System</t>
  </si>
  <si>
    <t>Envelope</t>
  </si>
  <si>
    <t>Case Lighting</t>
  </si>
  <si>
    <t>per Square feet of window replaced</t>
  </si>
  <si>
    <t>Utility Transmission System</t>
  </si>
  <si>
    <t>Escalators</t>
  </si>
  <si>
    <t>Case Lighting Delamping</t>
  </si>
  <si>
    <t>per Tank</t>
  </si>
  <si>
    <t>Any Residential (SF, MF or Manuf)</t>
  </si>
  <si>
    <t>Water Heating</t>
  </si>
  <si>
    <t>Freezers</t>
  </si>
  <si>
    <t>Cases</t>
  </si>
  <si>
    <t>per Ton</t>
  </si>
  <si>
    <t>Whole Bldg/Meter Level</t>
  </si>
  <si>
    <t>Handmove and Sideroll System and Equipment</t>
  </si>
  <si>
    <t>Center Pivot Conversions</t>
  </si>
  <si>
    <t>Hardware</t>
  </si>
  <si>
    <t>Centrifugal Chiller Improvements</t>
  </si>
  <si>
    <t>Heat Recovery</t>
  </si>
  <si>
    <t>Centrifugal Pump System Improvements</t>
  </si>
  <si>
    <t>Assembly</t>
  </si>
  <si>
    <t>Homes</t>
  </si>
  <si>
    <t>Change in Water Source</t>
  </si>
  <si>
    <t>HVAC System</t>
  </si>
  <si>
    <t>Chiller Improvements</t>
  </si>
  <si>
    <t>HVAC System Controls</t>
  </si>
  <si>
    <t>Clothes Washers</t>
  </si>
  <si>
    <t>HVAC System Improvements</t>
  </si>
  <si>
    <t>Commissioning Controls Sizing</t>
  </si>
  <si>
    <t>Big Box Retail</t>
  </si>
  <si>
    <t>Insulators</t>
  </si>
  <si>
    <t>Compressed Air Control Improvements (non-VFD)</t>
  </si>
  <si>
    <t>Irrigation System Improvements</t>
  </si>
  <si>
    <t>Compressed Air Control Improvements (VFD)</t>
  </si>
  <si>
    <t>Lamps/Ballasts/Fixtures</t>
  </si>
  <si>
    <t>Compressed Air System Compressor Improvements (non-VFD)</t>
  </si>
  <si>
    <t>Lamps/Fixtures</t>
  </si>
  <si>
    <t>Compressed Air System Compressor Improvements (VFD)</t>
  </si>
  <si>
    <t>College or University</t>
  </si>
  <si>
    <t>Lighting Controls</t>
  </si>
  <si>
    <t>Compressed Air System Demand Side Improvements</t>
  </si>
  <si>
    <t>Convenience Store</t>
  </si>
  <si>
    <t>Livestock Tanks</t>
  </si>
  <si>
    <t>Compressed Air System Dryer Improvements</t>
  </si>
  <si>
    <t>Dairy</t>
  </si>
  <si>
    <t>Mainline System and Equipment</t>
  </si>
  <si>
    <t>Compressed Air System Regulation Improvements</t>
  </si>
  <si>
    <t>Compressed Air System Storage Improvements</t>
  </si>
  <si>
    <t>Motors/Drives Controls</t>
  </si>
  <si>
    <t>Compressed Air System Supply Side Improvements</t>
  </si>
  <si>
    <t>Operation</t>
  </si>
  <si>
    <t>Compressors</t>
  </si>
  <si>
    <t>Exterior 24 Hour Operation</t>
  </si>
  <si>
    <t>Condenser Fan System Improvements</t>
  </si>
  <si>
    <t>Packaged Refrigeration</t>
  </si>
  <si>
    <t>Condensers</t>
  </si>
  <si>
    <t>Pipe Insulation</t>
  </si>
  <si>
    <t>Conservation Voltage Reduction (CVR)</t>
  </si>
  <si>
    <t>Food Service</t>
  </si>
  <si>
    <t>Plug Load</t>
  </si>
  <si>
    <t>Control Panels</t>
  </si>
  <si>
    <t>Grocery</t>
  </si>
  <si>
    <t>Pool System Improvements</t>
  </si>
  <si>
    <t>Cooking Equipment</t>
  </si>
  <si>
    <t>Power Factor Improvements</t>
  </si>
  <si>
    <t>Dairy Milking Machine Control Improvements (VFD)</t>
  </si>
  <si>
    <t>Process Loads System Controls</t>
  </si>
  <si>
    <t>Daylighting</t>
  </si>
  <si>
    <t>Process Loads System Improvements</t>
  </si>
  <si>
    <t>De-Energization</t>
  </si>
  <si>
    <t>Health Care</t>
  </si>
  <si>
    <t>Pumps and Fans</t>
  </si>
  <si>
    <t>Defrost Control Improvements</t>
  </si>
  <si>
    <t>Refrigeration System Controls</t>
  </si>
  <si>
    <t>Refrigeration System Improvements</t>
  </si>
  <si>
    <t>Dishwashers</t>
  </si>
  <si>
    <t>Refrigerators</t>
  </si>
  <si>
    <t>Doors</t>
  </si>
  <si>
    <t>High End Retail</t>
  </si>
  <si>
    <t>Signs and Signals</t>
  </si>
  <si>
    <t>Drain Replacement</t>
  </si>
  <si>
    <t>Suction Fittings Equipment</t>
  </si>
  <si>
    <t>Drop Installation for Spray Heads and Pressure Regulators</t>
  </si>
  <si>
    <t>System Efficiency Improvements</t>
  </si>
  <si>
    <t>Drop Tube/Hose Extension</t>
  </si>
  <si>
    <t>Transformers</t>
  </si>
  <si>
    <t>Duct Insulation</t>
  </si>
  <si>
    <t>Hospital</t>
  </si>
  <si>
    <t>Utility Station Service Loads</t>
  </si>
  <si>
    <t>Duct Sealing</t>
  </si>
  <si>
    <t>Voltage Management</t>
  </si>
  <si>
    <t>Ductless Heat Pumps</t>
  </si>
  <si>
    <t>Wastewater System Improvements</t>
  </si>
  <si>
    <t>Economizer System Improvements</t>
  </si>
  <si>
    <t>Water Heaters</t>
  </si>
  <si>
    <t>EcoRated Home</t>
  </si>
  <si>
    <t>Hospitality</t>
  </si>
  <si>
    <t>Water Heating Controls</t>
  </si>
  <si>
    <t>Electric Combination Ovens</t>
  </si>
  <si>
    <t>Water Management</t>
  </si>
  <si>
    <t>Electric Commercial Steam Cookers</t>
  </si>
  <si>
    <t>Water Using Devices</t>
  </si>
  <si>
    <t>Electric Convection Ovens</t>
  </si>
  <si>
    <t>Whole Bldg/Meter Level System Improvements</t>
  </si>
  <si>
    <t>Electric Fryers</t>
  </si>
  <si>
    <t>Industrial Facility</t>
  </si>
  <si>
    <t>Electronically Commutated Motor (ECM)</t>
  </si>
  <si>
    <t>Energy Management Systems/System Controls</t>
  </si>
  <si>
    <t>Energy Star Home</t>
  </si>
  <si>
    <t>Industrial Plant with One Shift</t>
  </si>
  <si>
    <t>Evaporator Coil Fan System Improvements</t>
  </si>
  <si>
    <t>Industrial Plant with Three Shifts</t>
  </si>
  <si>
    <t>Evaporator Fan System Improvements</t>
  </si>
  <si>
    <t>Fan System Improvements</t>
  </si>
  <si>
    <t>Industrial Plant with Two Shifts</t>
  </si>
  <si>
    <t>Fast Acting Doors</t>
  </si>
  <si>
    <t>Fixed and Switched Shunt Capacitor</t>
  </si>
  <si>
    <t>Invalid</t>
  </si>
  <si>
    <t>K-12 School</t>
  </si>
  <si>
    <t>Fixtures</t>
  </si>
  <si>
    <t>Flow Control Nozzles and Diffuser</t>
  </si>
  <si>
    <t>Freeze Resistant Stock Tanks</t>
  </si>
  <si>
    <t>Freezer Decommissioning</t>
  </si>
  <si>
    <t>Large Office</t>
  </si>
  <si>
    <t>Gasket Replacement</t>
  </si>
  <si>
    <t>Goose Necks</t>
  </si>
  <si>
    <t>Ground-source Heat Pump</t>
  </si>
  <si>
    <t>Laundromat</t>
  </si>
  <si>
    <t>Ground-Source Heat Pumps w/ Duct Sealing</t>
  </si>
  <si>
    <t>Lodging</t>
  </si>
  <si>
    <t>Ground-Source Heat Pumps w/o Duct Sealing</t>
  </si>
  <si>
    <t>Heat Pump Water Heaters</t>
  </si>
  <si>
    <t>Heat Recovery Improvements</t>
  </si>
  <si>
    <t>Hot Food Holding Cabinets</t>
  </si>
  <si>
    <t>Manufactured Home</t>
  </si>
  <si>
    <t>Hub Replacement</t>
  </si>
  <si>
    <t>Humidification/Dehumidification Improvements</t>
  </si>
  <si>
    <t>HVAC Control Improvements (non-VFD)</t>
  </si>
  <si>
    <t>HVAC Control Improvements (VFD)</t>
  </si>
  <si>
    <t>Medium Office</t>
  </si>
  <si>
    <t>Ice Makers</t>
  </si>
  <si>
    <t>Impact Sprinkler Heads</t>
  </si>
  <si>
    <t>Insulation</t>
  </si>
  <si>
    <t>MiniMart</t>
  </si>
  <si>
    <t>Interactive Compressed Air System Supply/Demand Improvements</t>
  </si>
  <si>
    <t>Interactive HVAC System Improvements</t>
  </si>
  <si>
    <t>Interactive Mainline System and Equipment Improvements</t>
  </si>
  <si>
    <t>Interactive Process Loads System Improvements</t>
  </si>
  <si>
    <t>Modular Classroom</t>
  </si>
  <si>
    <t>Interactive Refrigeration System Improvements</t>
  </si>
  <si>
    <t>Multifamily</t>
  </si>
  <si>
    <t>Interactive Wastewater System Improvements</t>
  </si>
  <si>
    <t>Interactive Whole Bldg/Meter Level System Improvements</t>
  </si>
  <si>
    <t>Lamps</t>
  </si>
  <si>
    <t>Non building measure</t>
  </si>
  <si>
    <t>Lamps/Ballasts</t>
  </si>
  <si>
    <t>Lamps/Ballasts w/Controls</t>
  </si>
  <si>
    <t>Lamps/Ballasts w/Delamping</t>
  </si>
  <si>
    <t>Lamps/Ballasts w/Delamping and Controls</t>
  </si>
  <si>
    <t>Non building measure (Motors)</t>
  </si>
  <si>
    <t>Lamps/Ballasts/Fixtures w/Controls</t>
  </si>
  <si>
    <t>Lamps/Ballasts/Fixtures w/Delamping</t>
  </si>
  <si>
    <t>Lamps/Ballasts/Fixtures w/Delamping and Controls</t>
  </si>
  <si>
    <t>LED Exit Signs</t>
  </si>
  <si>
    <t>LED Traffic Signals</t>
  </si>
  <si>
    <t>Office</t>
  </si>
  <si>
    <t>Leveler Rebuild</t>
  </si>
  <si>
    <t>Line Repairs</t>
  </si>
  <si>
    <t>Low Angle Heads</t>
  </si>
  <si>
    <t>Office &lt;20,000 sf</t>
  </si>
  <si>
    <t>Low Pressure End guns/Big guns</t>
  </si>
  <si>
    <t>Mainline System Pump Improvements</t>
  </si>
  <si>
    <t>Office &gt;100,000 sf</t>
  </si>
  <si>
    <t>Montana House</t>
  </si>
  <si>
    <t>Office 20,000 to 100,000 sf</t>
  </si>
  <si>
    <t>Motion Sensors</t>
  </si>
  <si>
    <t>Motor Rewind</t>
  </si>
  <si>
    <t>Motors/Drives Control Improvements (VFD)</t>
  </si>
  <si>
    <t>Motors/Drives Installation on Blower System</t>
  </si>
  <si>
    <t>Other Commercial</t>
  </si>
  <si>
    <t>Motors/Drives Installation on Compressed Air System</t>
  </si>
  <si>
    <t>Other Health, Nursing, Medical Clinic</t>
  </si>
  <si>
    <t>Motors/Drives Installation on Fan System</t>
  </si>
  <si>
    <t>OtherHealth</t>
  </si>
  <si>
    <t>Motors/Drives Installation on Pump System</t>
  </si>
  <si>
    <t>Motors/Drives Installation on Vacuum Pumps</t>
  </si>
  <si>
    <t>Multiplex</t>
  </si>
  <si>
    <t>Multi-Trajectory Sprays</t>
  </si>
  <si>
    <t>Potato/Onion Shed</t>
  </si>
  <si>
    <t>NEEA Net Savings</t>
  </si>
  <si>
    <t>NEEM Certified Home</t>
  </si>
  <si>
    <t>Network Computer Power Management</t>
  </si>
  <si>
    <t>Night Covers</t>
  </si>
  <si>
    <t>Restaurant</t>
  </si>
  <si>
    <t>Non-reportable to BPA</t>
  </si>
  <si>
    <t>Nozzle Replacement</t>
  </si>
  <si>
    <t>Occupancy Sensors</t>
  </si>
  <si>
    <t>Operation System Improvements</t>
  </si>
  <si>
    <t>Packaged Refrigeration System Improvements</t>
  </si>
  <si>
    <t>Photocells</t>
  </si>
  <si>
    <t>Retail 5,000 to 50,000 sf</t>
  </si>
  <si>
    <t>Pipe Repair</t>
  </si>
  <si>
    <t>Plate Milk Pre-cooler</t>
  </si>
  <si>
    <t>Retail Anchor Store &gt;50,000 sf Multistory</t>
  </si>
  <si>
    <t>Pneumatic to DDC Control Improvements</t>
  </si>
  <si>
    <t>Retail Big Box &gt;50,000 sf One-Story</t>
  </si>
  <si>
    <t>Pool Blankets</t>
  </si>
  <si>
    <t>Retail Boutique &lt;5,000 sf</t>
  </si>
  <si>
    <t>Power Strips</t>
  </si>
  <si>
    <t>Retail Mini Mart</t>
  </si>
  <si>
    <t>Power Supplies</t>
  </si>
  <si>
    <t>Pre Rinse Spray Valves</t>
  </si>
  <si>
    <t>Retail Supermarket</t>
  </si>
  <si>
    <t>Process Loads Control Improvements (non-VFD)</t>
  </si>
  <si>
    <t>School K-12</t>
  </si>
  <si>
    <t>Process Loads Control Improvements (VFD)</t>
  </si>
  <si>
    <t>Schools</t>
  </si>
  <si>
    <t>Pump System Improvements</t>
  </si>
  <si>
    <t>Pump Testing Service</t>
  </si>
  <si>
    <t>Reciprocating Chiller Improvements</t>
  </si>
  <si>
    <t>Reduce Cavitation</t>
  </si>
  <si>
    <t>Single Family</t>
  </si>
  <si>
    <t>Reduce Delivery System Leakage</t>
  </si>
  <si>
    <t>Reduce Friction Loss</t>
  </si>
  <si>
    <t>Reduce System Friction Head</t>
  </si>
  <si>
    <t>Reduce System Leakage</t>
  </si>
  <si>
    <t>Single Family or MultiFamily</t>
  </si>
  <si>
    <t>Reduce System Lift</t>
  </si>
  <si>
    <t>Refrigeration Control Improvements (non-VFD)</t>
  </si>
  <si>
    <t>Refrigeration Control Improvements (VFD)</t>
  </si>
  <si>
    <t>Refrigerator Decommissioning</t>
  </si>
  <si>
    <t>Small Box Retail</t>
  </si>
  <si>
    <t>Regulator Replacement</t>
  </si>
  <si>
    <t>Rooftop Units</t>
  </si>
  <si>
    <t>Rotary Screw Chiller Improvements</t>
  </si>
  <si>
    <t>Small Office</t>
  </si>
  <si>
    <t>Scientific Irrigation Scheduling</t>
  </si>
  <si>
    <t>Scroll Chiller Improvements</t>
  </si>
  <si>
    <t>Sealing and Commissioning</t>
  </si>
  <si>
    <t>Sealing Commissioning and Controls</t>
  </si>
  <si>
    <t>Small Retail</t>
  </si>
  <si>
    <t>Server Virtualization/Load Reduction</t>
  </si>
  <si>
    <t>Street &amp; Area Lighting (Photo Sensor Controlled)</t>
  </si>
  <si>
    <t>Servers</t>
  </si>
  <si>
    <t>Service Conductor Replacement</t>
  </si>
  <si>
    <t>Service Station System Improvements</t>
  </si>
  <si>
    <t>Supermarket</t>
  </si>
  <si>
    <t>Set Top Boxes</t>
  </si>
  <si>
    <t>Showerheads</t>
  </si>
  <si>
    <t>Small Office Package</t>
  </si>
  <si>
    <t>Spray Heads</t>
  </si>
  <si>
    <t>University</t>
  </si>
  <si>
    <t>Sprinkler Replacements</t>
  </si>
  <si>
    <t>Stall Lighting</t>
  </si>
  <si>
    <t>Storage Tank Insulation Improvements</t>
  </si>
  <si>
    <t>Strip Curtains</t>
  </si>
  <si>
    <t>Suction Line Insulation</t>
  </si>
  <si>
    <t>System Water Delivery Improvements</t>
  </si>
  <si>
    <t>Televisions</t>
  </si>
  <si>
    <t>Thermostats</t>
  </si>
  <si>
    <t>Winery</t>
  </si>
  <si>
    <t>Timers</t>
  </si>
  <si>
    <t>Transformer Load Management</t>
  </si>
  <si>
    <t>Transformers (NEMA TP-1 or Higher)</t>
  </si>
  <si>
    <t>Turbine Pump System Improvements</t>
  </si>
  <si>
    <t>Wood Frame</t>
  </si>
  <si>
    <t>Beta04</t>
  </si>
  <si>
    <t>Measure Life</t>
  </si>
  <si>
    <t>7P Mid</t>
  </si>
  <si>
    <t>7P Gas</t>
  </si>
  <si>
    <t>CO2 lbs per kWh .95</t>
  </si>
  <si>
    <t>Wholesale Elec</t>
  </si>
  <si>
    <t>Retail Elec</t>
  </si>
  <si>
    <t>Nat Gas</t>
  </si>
  <si>
    <t>Conservation Load Shapes</t>
  </si>
  <si>
    <t xml:space="preserve">Version:    </t>
  </si>
  <si>
    <t>ProCost 3.0 - Beta04</t>
  </si>
  <si>
    <t>Run Time:</t>
  </si>
  <si>
    <t>Regurgitation of ProData input parameters which were used for this run</t>
  </si>
  <si>
    <t>Run Type:</t>
  </si>
  <si>
    <t>Negative B/C Ratios:</t>
  </si>
  <si>
    <t>False:  (Converts Negative B/C Ratios)</t>
  </si>
  <si>
    <t>Admin Cost / Category Level:</t>
  </si>
  <si>
    <t>True:  Admin Costs added at Category Results</t>
  </si>
  <si>
    <t>Periodic O&amp;M Treatment:</t>
  </si>
  <si>
    <t>True:  (Periodic O&amp;M Repeats over measure life)</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</si>
  <si>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</si>
  <si>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</si>
  <si>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</si>
  <si>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</si>
  <si>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</si>
  <si>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</si>
  <si>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</si>
  <si>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</si>
  <si>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</si>
  <si>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</si>
  <si>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</si>
  <si>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</si>
  <si>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</si>
  <si>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</si>
  <si>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</si>
  <si>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</si>
  <si>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</si>
  <si>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</si>
  <si>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</si>
  <si>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</si>
  <si>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</si>
  <si>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</si>
  <si>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</si>
  <si>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</si>
  <si>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</si>
  <si>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</si>
  <si>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</si>
  <si>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</si>
  <si>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</si>
  <si>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</si>
  <si>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</si>
  <si>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</si>
  <si>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</si>
  <si>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</si>
  <si>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</si>
  <si>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</si>
  <si>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</si>
  <si>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</si>
  <si>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</si>
  <si>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</si>
  <si>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</si>
  <si>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</si>
  <si>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</si>
  <si>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</si>
  <si>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</si>
  <si>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</si>
  <si>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</si>
  <si>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</si>
  <si>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</si>
  <si>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</si>
  <si>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</si>
  <si>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</si>
  <si>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</si>
  <si>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</si>
  <si>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</si>
  <si>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</si>
  <si>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</si>
  <si>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</si>
  <si>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</si>
  <si>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</si>
  <si>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</si>
  <si>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</si>
  <si>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</si>
  <si>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</si>
  <si>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</si>
  <si>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</si>
  <si>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</si>
  <si>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</si>
  <si>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</si>
  <si>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</si>
  <si>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</si>
  <si>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</si>
  <si>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</si>
  <si>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</si>
  <si>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</si>
  <si>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</si>
  <si>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</si>
  <si>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</si>
  <si>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</si>
  <si>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TRC Net Levelized Cost (Net of All Benefits) in mills/kWh</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</si>
  <si>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</si>
  <si>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</si>
  <si>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</si>
  <si>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</si>
  <si>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</si>
  <si>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</si>
  <si>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</si>
  <si>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</si>
  <si>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</si>
  <si>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</si>
  <si>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</si>
  <si>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</si>
  <si>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</si>
  <si>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</si>
  <si>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</si>
  <si>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</si>
  <si>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</si>
  <si>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</si>
  <si>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</si>
  <si>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</si>
  <si>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</si>
  <si>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</si>
  <si>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</si>
  <si>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</si>
  <si>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</si>
  <si>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</si>
  <si>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</si>
  <si>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</si>
  <si>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</si>
  <si>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</si>
  <si>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</si>
  <si>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</si>
  <si>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</si>
  <si>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</si>
  <si>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</si>
  <si>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</si>
  <si>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</si>
  <si>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</si>
  <si>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</si>
  <si>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</si>
  <si>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</si>
  <si>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</si>
  <si>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</si>
  <si>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</si>
  <si>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</si>
  <si>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</si>
  <si>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</si>
  <si>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</si>
  <si>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</si>
  <si>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</si>
  <si>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</si>
  <si>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</si>
  <si>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</si>
  <si>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</si>
  <si>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</si>
  <si>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</si>
  <si>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</si>
  <si>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</si>
  <si>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</si>
  <si>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</si>
  <si>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</si>
  <si>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</si>
  <si>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</si>
  <si>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Shaped Savings Results; By Category and sorted by TRC BC ratio</t>
  </si>
  <si>
    <t>Busbar Savings</t>
  </si>
  <si>
    <t>Efficient</t>
  </si>
  <si>
    <t>Storage/Takeback/Removal</t>
  </si>
  <si>
    <t>Electric Savings</t>
  </si>
  <si>
    <t>Index</t>
  </si>
  <si>
    <t>Year</t>
  </si>
  <si>
    <t>Efficient Technology</t>
  </si>
  <si>
    <t>Lamp Type</t>
  </si>
  <si>
    <t>Lumen Category</t>
  </si>
  <si>
    <t>Room Type</t>
  </si>
  <si>
    <t>Baseline Lookup Name</t>
  </si>
  <si>
    <t>Efficient Lookup Name</t>
  </si>
  <si>
    <t>Full Measure Name</t>
  </si>
  <si>
    <t>HOU</t>
  </si>
  <si>
    <t>Conditioned %</t>
  </si>
  <si>
    <t>Lumens</t>
  </si>
  <si>
    <t>Watts</t>
  </si>
  <si>
    <t>Lifetime (years)</t>
  </si>
  <si>
    <t>Efficacy</t>
  </si>
  <si>
    <t>Lifetime (Hours)</t>
  </si>
  <si>
    <t>Savings Adjustment</t>
  </si>
  <si>
    <t>Lifetime Adjustment</t>
  </si>
  <si>
    <t>Electric Adjustment</t>
  </si>
  <si>
    <t>Gas (therms per kWh)</t>
  </si>
  <si>
    <t>UEC baseline (kWh)</t>
  </si>
  <si>
    <t>UEC efficient (kWh)</t>
  </si>
  <si>
    <t>Savings - before adjustments (kWh)</t>
  </si>
  <si>
    <t>Savings - adjusted for Storage/Takeback/Removal (kWh)</t>
  </si>
  <si>
    <t>Savings - adjusted for HVAC (kWh)</t>
  </si>
  <si>
    <t>Gas Savings (therms)</t>
  </si>
  <si>
    <t>General Purpose and Dimmable</t>
  </si>
  <si>
    <t>665 to 1439 lumens</t>
  </si>
  <si>
    <t>MARKET AVG BASELINE</t>
  </si>
  <si>
    <t>R-All-Lgt-Lighting-All-All-R</t>
  </si>
  <si>
    <t>R-All-HVAC-ER-All-All-E</t>
  </si>
  <si>
    <t>ANY</t>
  </si>
  <si>
    <t>250 to 664 lumens</t>
  </si>
  <si>
    <t>1440 to 2600 lumens</t>
  </si>
  <si>
    <t>For 45 lm/Watt against mkt avg</t>
  </si>
  <si>
    <t>45 lm/Watt</t>
  </si>
  <si>
    <t>Cost (2012$)</t>
  </si>
  <si>
    <t>all</t>
  </si>
  <si>
    <t>Methodology</t>
  </si>
  <si>
    <t>='[7P Forecasts D1.xlsx]Res Forecast (Base Case)'!$D$5</t>
  </si>
  <si>
    <t>NR</t>
  </si>
  <si>
    <t>Measure Bundle</t>
  </si>
  <si>
    <t>Report Year</t>
  </si>
  <si>
    <t># Homes FOR EXISTING STOCK</t>
  </si>
  <si>
    <t>Multifamily - Low Rise</t>
  </si>
  <si>
    <t>Multifamily - High Rise</t>
  </si>
  <si>
    <t>Manufactured</t>
  </si>
  <si>
    <t>REG_TOTAL_STOCK_# HOMES</t>
  </si>
  <si>
    <t>Total Regional Stock</t>
  </si>
  <si>
    <t># Homes NOT TREATED FROM NEW STOCK AND THUS AVAILABLE FOR NR POOL FROM SC-NEW</t>
  </si>
  <si>
    <t>ONLY INCLUDE AFTER ONE EUL</t>
  </si>
  <si>
    <t>New Stock into NR/Retro Pool</t>
  </si>
  <si>
    <t>EXISTING STOCK AVAILABLE TO NR/RETROFIT POOL</t>
  </si>
  <si>
    <t>MAX</t>
  </si>
  <si>
    <t>APPLY MEASURE APPLICABILITY, SATURATION TURNOVER RATE FOR MAX ANNUAL # UNITS</t>
  </si>
  <si>
    <t>Applicability</t>
  </si>
  <si>
    <t>Saturation</t>
  </si>
  <si>
    <t>Turnover Rate</t>
  </si>
  <si>
    <t>Achievability =&gt;</t>
  </si>
  <si>
    <t>INCREMENTAL ACHIEVABILITY</t>
  </si>
  <si>
    <t>CUMULATIVE ADOPTION</t>
  </si>
  <si>
    <t>SUPPLY CURVE SAVINGS BY BUNDLE</t>
  </si>
  <si>
    <t>aMW</t>
  </si>
  <si>
    <t>kWh per home</t>
  </si>
  <si>
    <t>lvlcost</t>
  </si>
  <si>
    <t>segment</t>
  </si>
  <si>
    <t>measure</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</si>
  <si>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</si>
  <si>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</si>
  <si>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</si>
  <si>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</si>
  <si>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</si>
  <si>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</si>
  <si>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</si>
  <si>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</si>
  <si>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</si>
  <si>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</si>
  <si>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</si>
  <si>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</si>
  <si>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</si>
  <si>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</si>
  <si>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</si>
  <si>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</si>
  <si>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</si>
  <si>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</si>
  <si>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</si>
  <si>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</si>
  <si>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</si>
  <si>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</si>
  <si>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</si>
  <si>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</si>
  <si>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</si>
  <si>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</si>
  <si>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</si>
  <si>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</si>
  <si>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</si>
  <si>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</si>
  <si>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</si>
  <si>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</si>
  <si>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</si>
  <si>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</si>
  <si>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</si>
  <si>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</si>
  <si>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</si>
  <si>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</si>
  <si>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</si>
  <si>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</si>
  <si>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</si>
  <si>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</si>
  <si>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</si>
  <si>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Block 22: 200-210 mills/kWh</t>
  </si>
  <si>
    <t>&gt;200</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</si>
  <si>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</si>
  <si>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</si>
  <si>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</si>
  <si>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</si>
  <si>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</si>
  <si>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</si>
  <si>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</si>
  <si>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</si>
  <si>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</si>
  <si>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</si>
  <si>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</si>
  <si>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</si>
  <si>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</si>
  <si>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</si>
  <si>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</si>
  <si>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</si>
  <si>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</si>
  <si>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</si>
  <si>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</si>
  <si>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</si>
  <si>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</si>
  <si>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</si>
  <si>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</si>
  <si>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</si>
  <si>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</si>
  <si>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</si>
  <si>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</si>
  <si>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</si>
  <si>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</si>
  <si>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</si>
  <si>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&lt;=9999</t>
  </si>
  <si>
    <t>RECOMBINE MEASURE BUNDLES INTO SUPPLY CURVE INCREMENTAL</t>
  </si>
  <si>
    <t>Total per Year</t>
  </si>
  <si>
    <t>Total Cumulative</t>
  </si>
  <si>
    <t>Bulb Type</t>
  </si>
  <si>
    <t>Lamp Weight</t>
  </si>
  <si>
    <t>LEDDecorative and Mini-Base250 to 664 lumensANY</t>
  </si>
  <si>
    <t>LEDDecorative and Mini-Base665 to 1439 lumensANY</t>
  </si>
  <si>
    <t>LEDDecorative and Mini-Base1440 to 2600 lumensANY</t>
  </si>
  <si>
    <t>LEDGlobe250 to 664 lumensANY</t>
  </si>
  <si>
    <t>LEDGlobe665 to 1439 lumensANY</t>
  </si>
  <si>
    <t>LEDGlobe1440 to 2600 lumensANY</t>
  </si>
  <si>
    <t>LEDReflectors and Outdoor250 to 664 lumensANY</t>
  </si>
  <si>
    <t>LEDReflectors and Outdoor665 to 1439 lumensANY</t>
  </si>
  <si>
    <t>LEDReflectors and Outdoor1440 to 2600 lumensANY</t>
  </si>
  <si>
    <t>LEDThree-Way250 to 664 lumensANY</t>
  </si>
  <si>
    <t>LEDThree-Way665 to 1439 lumensANY</t>
  </si>
  <si>
    <t>LEDThree-Way1440 to 2600 lumensANY</t>
  </si>
  <si>
    <t>45lm/W</t>
  </si>
  <si>
    <t>all45lm/WGeneral Purpose and Dimmable250 to 664 lumensANY</t>
  </si>
  <si>
    <t>45lm/WGeneral Purpose and Dimmable250 to 664 lumensANY</t>
  </si>
  <si>
    <t>all45lm/WGeneral Purpose and Dimmable665 to 1439 lumensANY</t>
  </si>
  <si>
    <t>45lm/WGeneral Purpose and Dimmable665 to 1439 lumensANY</t>
  </si>
  <si>
    <t>all45lm/WGeneral Purpose and Dimmable1440 to 2600 lumensANY</t>
  </si>
  <si>
    <t>45lm/WGeneral Purpose and Dimmable1440 to 2600 lumensANY</t>
  </si>
  <si>
    <t>Using Cost &amp; EUL of CFLs from RTF work</t>
  </si>
  <si>
    <t>Savings Allocation by Category and Month for Segments 1</t>
  </si>
  <si>
    <t>Savings Allocation by Category and Month for Segments 2</t>
  </si>
  <si>
    <t>Wholesale KW</t>
  </si>
  <si>
    <t>Electric System CO2 Avoided (Annual Tons in 2018)</t>
  </si>
  <si>
    <t>Gas System CO2 Avoided (Annual Tons in 2018)</t>
  </si>
  <si>
    <t>Total System CO2 Avoided (Annual Tons in 2018)</t>
  </si>
  <si>
    <t>Savings Allocation by Cost Bin and Month for Segments 1</t>
  </si>
  <si>
    <t>Savings Allocation by Cost Bin and Month for Segments 2</t>
  </si>
  <si>
    <t>savingsYear</t>
  </si>
  <si>
    <t>BPA Sector</t>
  </si>
  <si>
    <t>BPA EndUse</t>
  </si>
  <si>
    <t>BPA Category</t>
  </si>
  <si>
    <t>BPA TAP</t>
  </si>
  <si>
    <t>SumOfkWhBusbar</t>
  </si>
  <si>
    <t>SumOfaMWBusbar</t>
  </si>
  <si>
    <t>Unknown</t>
  </si>
  <si>
    <t>From RBSA</t>
  </si>
  <si>
    <t>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This measure has a unique ramp rate that decreases with time, given the pending 2020 standard</t>
  </si>
  <si>
    <t>Measure:</t>
  </si>
  <si>
    <t>Item</t>
  </si>
  <si>
    <t>Methods &amp; Sources</t>
  </si>
  <si>
    <t>Note</t>
  </si>
  <si>
    <t>7P Updates</t>
  </si>
  <si>
    <t>Measures Described</t>
  </si>
  <si>
    <t>Energy Savings Calculation Basis</t>
  </si>
  <si>
    <t>Based on RTF approach to delta_Watts*HOU</t>
  </si>
  <si>
    <t>ResLightingCFLandLEDLamps_v3_3</t>
  </si>
  <si>
    <t>Applicable Stock</t>
  </si>
  <si>
    <t>Baseline Saturation</t>
  </si>
  <si>
    <t>Baseline HVAC Loads</t>
  </si>
  <si>
    <t>HVAC interaction based on SEEM calc</t>
  </si>
  <si>
    <t>Permutations</t>
  </si>
  <si>
    <t>Costs</t>
  </si>
  <si>
    <t>Savings Shape</t>
  </si>
  <si>
    <t>res lighting</t>
  </si>
  <si>
    <t>from RBSA</t>
  </si>
  <si>
    <t>new from RBSA</t>
  </si>
  <si>
    <t>Achievable Ramp Rate</t>
  </si>
  <si>
    <t>Ramp Rate</t>
  </si>
  <si>
    <t>Resource Type</t>
  </si>
  <si>
    <t>Measure Category</t>
  </si>
  <si>
    <t>End Use</t>
  </si>
  <si>
    <t>kW per unit</t>
  </si>
  <si>
    <t>kWh per unit</t>
  </si>
  <si>
    <t>TRC Net Levelized Cost (Net of All Benefits)</t>
  </si>
  <si>
    <t>Lighting for PPA (2016-2019)</t>
  </si>
  <si>
    <t>Savings from stock to 45 lm/W (EISA) baseline</t>
  </si>
  <si>
    <t>This workbook only includes savings to 45 lumens/watt (EISA 2020 standard); above 45 lm/W in SC Lighting workbook</t>
  </si>
  <si>
    <t>General Purpose bulbs, all lumen bins</t>
  </si>
  <si>
    <t>RTF</t>
  </si>
  <si>
    <t>assume 45 lm/W bulb costs same as CFL</t>
  </si>
  <si>
    <t>~8 yrs, based on CFL and HOU</t>
  </si>
  <si>
    <t>reverse of Retro12Med ramp rate (front loaded)</t>
  </si>
  <si>
    <t>since savings will become less valuable as 2020 approaches, front loading achievable</t>
  </si>
  <si>
    <t>End Use:</t>
  </si>
  <si>
    <t>Life</t>
  </si>
  <si>
    <t>PPA</t>
  </si>
  <si>
    <t>Total Max Potential (aMW)</t>
  </si>
  <si>
    <t>Wednesday, 25 March , 2015 at 4:49 PM</t>
  </si>
  <si>
    <t>Q:\SeventhPlan\Conservation Analysis\Global EE Inputs\MC Files\MC_AND_LOADSHAPE_v3.0_24segment-7P-D9 - NewSegValues.xlsx</t>
  </si>
</sst>
</file>

<file path=xl/styles.xml><?xml version="1.0" encoding="utf-8"?>
<styleSheet xmlns="http://schemas.openxmlformats.org/spreadsheetml/2006/main">
  <numFmts count="21">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m/d/\ h:mm"/>
    <numFmt numFmtId="168" formatCode="0.0000"/>
    <numFmt numFmtId="169" formatCode="0.000000"/>
    <numFmt numFmtId="170" formatCode="0.00000000000000"/>
    <numFmt numFmtId="171" formatCode="00000"/>
    <numFmt numFmtId="172" formatCode="#,##0.0_);\(#,##0.0\)"/>
    <numFmt numFmtId="173" formatCode="0.0;[Red]\-0.0"/>
    <numFmt numFmtId="174" formatCode="\ "/>
    <numFmt numFmtId="175" formatCode="_(* #,##0_);_(* \(#,##0\);_(* &quot;-&quot;??_);_(@_)"/>
    <numFmt numFmtId="176" formatCode="mmm\-yyyy"/>
    <numFmt numFmtId="177" formatCode="_(* #,##0.00_);_(* \(#,##0.00\);_(* &quot;-&quot;?_);_(@_)"/>
    <numFmt numFmtId="178" formatCode="_(* #,##0.0_);_(* \(#,##0.0\);_(* &quot;-&quot;?_);_(@_)"/>
    <numFmt numFmtId="179" formatCode="0.000"/>
  </numFmts>
  <fonts count="86">
    <font>
      <sz val="10"/>
      <name val="Arial"/>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Arial"/>
      <family val="2"/>
    </font>
    <font>
      <b/>
      <sz val="10"/>
      <color indexed="9"/>
      <name val="Arial"/>
      <family val="2"/>
    </font>
    <font>
      <sz val="8"/>
      <color indexed="81"/>
      <name val="Tahoma"/>
      <family val="2"/>
    </font>
    <font>
      <u/>
      <sz val="10"/>
      <color indexed="12"/>
      <name val="Arial"/>
      <family val="2"/>
    </font>
    <font>
      <sz val="10"/>
      <color indexed="12"/>
      <name val="Arial"/>
      <family val="2"/>
    </font>
    <font>
      <sz val="10"/>
      <color indexed="8"/>
      <name val="Arial"/>
      <family val="2"/>
    </font>
    <font>
      <sz val="10"/>
      <color indexed="22"/>
      <name val="Arial"/>
      <family val="2"/>
    </font>
    <font>
      <b/>
      <sz val="8"/>
      <color indexed="81"/>
      <name val="Tahoma"/>
      <family val="2"/>
    </font>
    <font>
      <b/>
      <sz val="10"/>
      <name val="Arial"/>
      <family val="2"/>
    </font>
    <font>
      <b/>
      <i/>
      <sz val="10"/>
      <name val="Arial"/>
      <family val="2"/>
    </font>
    <font>
      <sz val="12"/>
      <name val="Times New Roman"/>
      <family val="1"/>
    </font>
    <font>
      <b/>
      <sz val="12"/>
      <name val="Times New Roman"/>
      <family val="1"/>
    </font>
    <font>
      <sz val="10"/>
      <name val="Arial"/>
      <family val="2"/>
    </font>
    <font>
      <sz val="11"/>
      <color indexed="8"/>
      <name val="Calibri"/>
      <family val="2"/>
    </font>
    <font>
      <sz val="10"/>
      <name val="Arial"/>
      <family val="2"/>
    </font>
    <font>
      <sz val="8"/>
      <name val="MS Sans Serif"/>
      <family val="2"/>
    </font>
    <font>
      <sz val="10"/>
      <color indexed="14"/>
      <name val="Arial"/>
      <family val="2"/>
    </font>
    <font>
      <sz val="10"/>
      <color theme="0" tint="-0.34998626667073579"/>
      <name val="Arial"/>
      <family val="2"/>
    </font>
    <font>
      <sz val="10"/>
      <color rgb="FF000000"/>
      <name val="Arial"/>
      <family val="2"/>
    </font>
    <font>
      <b/>
      <sz val="10"/>
      <color rgb="FFFF0000"/>
      <name val="Arial"/>
      <family val="2"/>
    </font>
    <font>
      <b/>
      <sz val="11"/>
      <color theme="1"/>
      <name val="Calibri"/>
      <family val="2"/>
      <scheme val="minor"/>
    </font>
    <font>
      <sz val="10"/>
      <name val="MS Sans Serif"/>
      <family val="2"/>
    </font>
    <font>
      <sz val="11"/>
      <name val="Calibri"/>
      <family val="2"/>
      <scheme val="minor"/>
    </font>
    <font>
      <b/>
      <sz val="11"/>
      <name val="Calibri"/>
      <family val="2"/>
      <scheme val="minor"/>
    </font>
    <font>
      <sz val="9"/>
      <color indexed="81"/>
      <name val="Tahoma"/>
      <family val="2"/>
    </font>
    <font>
      <u/>
      <sz val="10"/>
      <color theme="10"/>
      <name val="Arial"/>
      <family val="2"/>
    </font>
    <font>
      <b/>
      <sz val="11"/>
      <color indexed="8"/>
      <name val="Calibri"/>
      <family val="2"/>
    </font>
    <font>
      <b/>
      <sz val="11"/>
      <color indexed="56"/>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b/>
      <sz val="15"/>
      <color indexed="62"/>
      <name val="Calibri"/>
      <family val="2"/>
    </font>
    <font>
      <b/>
      <sz val="11"/>
      <color indexed="62"/>
      <name val="Calibri"/>
      <family val="2"/>
    </font>
    <font>
      <b/>
      <sz val="18"/>
      <color indexed="62"/>
      <name val="Cambria"/>
      <family val="2"/>
    </font>
    <font>
      <b/>
      <sz val="9"/>
      <color indexed="81"/>
      <name val="Tahoma"/>
      <family val="2"/>
    </font>
    <font>
      <sz val="11"/>
      <color theme="0" tint="-0.34998626667073579"/>
      <name val="Calibri"/>
      <family val="2"/>
      <scheme val="minor"/>
    </font>
    <font>
      <b/>
      <sz val="10"/>
      <color rgb="FFFFFFFF"/>
      <name val="Arial"/>
      <family val="2"/>
    </font>
    <font>
      <sz val="10"/>
      <color theme="1"/>
      <name val="Arial"/>
      <family val="2"/>
    </font>
    <font>
      <sz val="10"/>
      <color indexed="9"/>
      <name val="Arial"/>
      <family val="2"/>
    </font>
    <font>
      <sz val="10"/>
      <color indexed="10"/>
      <name val="Arial"/>
      <family val="2"/>
    </font>
    <font>
      <sz val="10"/>
      <color theme="0" tint="-0.499984740745262"/>
      <name val="Arial"/>
      <family val="2"/>
    </font>
    <font>
      <sz val="10"/>
      <name val="Times New Roman"/>
      <family val="1"/>
    </font>
    <font>
      <b/>
      <sz val="10"/>
      <color indexed="8"/>
      <name val="Arial"/>
      <family val="2"/>
    </font>
    <font>
      <b/>
      <sz val="13"/>
      <color theme="3"/>
      <name val="Calibri"/>
      <family val="2"/>
      <scheme val="minor"/>
    </font>
    <font>
      <b/>
      <sz val="13"/>
      <color indexed="62"/>
      <name val="Calibri"/>
      <family val="2"/>
    </font>
    <font>
      <u/>
      <sz val="10"/>
      <color indexed="12"/>
      <name val="Times New Roman"/>
      <family val="1"/>
    </font>
    <font>
      <u/>
      <sz val="10"/>
      <color rgb="FF0000FF"/>
      <name val="Calibri"/>
      <family val="2"/>
      <scheme val="minor"/>
    </font>
    <font>
      <u/>
      <sz val="7"/>
      <color indexed="12"/>
      <name val="Arial"/>
      <family val="2"/>
    </font>
    <font>
      <u/>
      <sz val="11"/>
      <color theme="10"/>
      <name val="Calibri"/>
      <family val="2"/>
    </font>
    <font>
      <u/>
      <sz val="11"/>
      <color theme="10"/>
      <name val="Calibri"/>
      <family val="2"/>
      <scheme val="minor"/>
    </font>
    <font>
      <u/>
      <sz val="8"/>
      <color theme="10"/>
      <name val="Arial"/>
      <family val="2"/>
    </font>
    <font>
      <sz val="9"/>
      <color theme="1"/>
      <name val="Calibri"/>
      <family val="2"/>
      <scheme val="minor"/>
    </font>
    <font>
      <sz val="9"/>
      <name val="Arial"/>
      <family val="2"/>
    </font>
    <font>
      <sz val="12"/>
      <name val="Helv"/>
    </font>
    <font>
      <sz val="10"/>
      <name val="Helv"/>
    </font>
    <font>
      <sz val="10"/>
      <name val="Helv"/>
      <charset val="204"/>
    </font>
    <font>
      <sz val="10"/>
      <name val="굴림"/>
      <family val="3"/>
      <charset val="129"/>
    </font>
    <font>
      <b/>
      <sz val="10"/>
      <color theme="0"/>
      <name val="Calibri"/>
      <family val="2"/>
      <scheme val="minor"/>
    </font>
    <font>
      <sz val="10"/>
      <color theme="1"/>
      <name val="Calibri"/>
      <family val="2"/>
      <scheme val="minor"/>
    </font>
    <font>
      <sz val="10"/>
      <name val="Arial"/>
      <family val="2"/>
    </font>
    <font>
      <b/>
      <sz val="14"/>
      <color theme="1"/>
      <name val="Calibri"/>
      <family val="2"/>
      <scheme val="minor"/>
    </font>
    <font>
      <b/>
      <sz val="13"/>
      <color theme="3"/>
      <name val="Arial"/>
      <family val="2"/>
    </font>
    <font>
      <sz val="11"/>
      <name val="Calibri"/>
      <family val="2"/>
    </font>
    <font>
      <sz val="9"/>
      <color theme="1"/>
      <name val="Arial"/>
      <family val="2"/>
    </font>
    <font>
      <sz val="10"/>
      <name val="Verdana"/>
      <family val="2"/>
    </font>
  </fonts>
  <fills count="91">
    <fill>
      <patternFill patternType="none"/>
    </fill>
    <fill>
      <patternFill patternType="gray125"/>
    </fill>
    <fill>
      <patternFill patternType="solid">
        <fgColor indexed="44"/>
        <bgColor indexed="64"/>
      </patternFill>
    </fill>
    <fill>
      <patternFill patternType="solid">
        <fgColor indexed="47"/>
        <bgColor indexed="64"/>
      </patternFill>
    </fill>
    <fill>
      <patternFill patternType="solid">
        <fgColor indexed="8"/>
        <bgColor indexed="64"/>
      </patternFill>
    </fill>
    <fill>
      <patternFill patternType="solid">
        <fgColor indexed="18"/>
        <bgColor indexed="64"/>
      </patternFill>
    </fill>
    <fill>
      <patternFill patternType="solid">
        <fgColor indexed="22"/>
        <bgColor indexed="64"/>
      </patternFill>
    </fill>
    <fill>
      <patternFill patternType="solid">
        <fgColor indexed="43"/>
        <bgColor indexed="64"/>
      </patternFill>
    </fill>
    <fill>
      <patternFill patternType="solid">
        <fgColor indexed="40"/>
        <bgColor indexed="64"/>
      </patternFill>
    </fill>
    <fill>
      <patternFill patternType="solid">
        <fgColor indexed="12"/>
        <bgColor indexed="64"/>
      </patternFill>
    </fill>
    <fill>
      <patternFill patternType="solid">
        <fgColor indexed="26"/>
        <bgColor indexed="64"/>
      </patternFill>
    </fill>
    <fill>
      <patternFill patternType="solid">
        <fgColor indexed="45"/>
        <bgColor indexed="64"/>
      </patternFill>
    </fill>
    <fill>
      <patternFill patternType="solid">
        <fgColor indexed="5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5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333399"/>
        <bgColor indexed="64"/>
      </patternFill>
    </fill>
    <fill>
      <patternFill patternType="solid">
        <fgColor theme="6" tint="0.79998168889431442"/>
        <bgColor indexed="64"/>
      </patternFill>
    </fill>
    <fill>
      <patternFill patternType="solid">
        <fgColor indexed="60"/>
        <bgColor indexed="64"/>
      </patternFill>
    </fill>
    <fill>
      <patternFill patternType="solid">
        <fgColor indexed="57"/>
        <bgColor indexed="64"/>
      </patternFill>
    </fill>
    <fill>
      <patternFill patternType="solid">
        <fgColor indexed="3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45"/>
        <bgColor indexed="45"/>
      </patternFill>
    </fill>
    <fill>
      <patternFill patternType="solid">
        <fgColor indexed="29"/>
        <bgColor indexed="29"/>
      </patternFill>
    </fill>
    <fill>
      <patternFill patternType="solid">
        <fgColor indexed="42"/>
        <bgColor indexed="42"/>
      </patternFill>
    </fill>
    <fill>
      <patternFill patternType="solid">
        <fgColor indexed="11"/>
        <bgColor indexed="11"/>
      </patternFill>
    </fill>
    <fill>
      <patternFill patternType="solid">
        <fgColor indexed="46"/>
        <bgColor indexed="46"/>
      </patternFill>
    </fill>
    <fill>
      <patternFill patternType="solid">
        <fgColor indexed="36"/>
        <bgColor indexed="36"/>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tint="0.7999816888943144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0.14996795556505021"/>
        <bgColor indexed="64"/>
      </patternFill>
    </fill>
  </fills>
  <borders count="52">
    <border>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indexed="2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rgb="FF7F7F7F"/>
      </left>
      <right style="thin">
        <color rgb="FF7F7F7F"/>
      </right>
      <top style="thin">
        <color rgb="FF7F7F7F"/>
      </top>
      <bottom style="thin">
        <color rgb="FF7F7F7F"/>
      </bottom>
      <diagonal/>
    </border>
  </borders>
  <cellStyleXfs count="8994">
    <xf numFmtId="0" fontId="0" fillId="0" borderId="0">
      <alignment readingOrder="1"/>
    </xf>
    <xf numFmtId="43" fontId="11"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44" fontId="23" fillId="0" borderId="0" applyFont="0" applyFill="0" applyBorder="0" applyAlignment="0" applyProtection="0"/>
    <xf numFmtId="44" fontId="11" fillId="0" borderId="0" applyFont="0" applyFill="0" applyBorder="0" applyAlignment="0" applyProtection="0"/>
    <xf numFmtId="0" fontId="11" fillId="2" borderId="0" applyNumberFormat="0" applyAlignment="0">
      <alignment horizontal="right"/>
    </xf>
    <xf numFmtId="0" fontId="9" fillId="3" borderId="0" applyNumberFormat="0" applyAlignment="0"/>
    <xf numFmtId="167" fontId="21" fillId="0" borderId="0"/>
    <xf numFmtId="0" fontId="22" fillId="0" borderId="0">
      <alignment horizontal="center" wrapText="1"/>
    </xf>
    <xf numFmtId="0" fontId="12" fillId="4" borderId="1">
      <alignment horizontal="left"/>
    </xf>
    <xf numFmtId="0" fontId="14" fillId="0" borderId="0" applyNumberFormat="0" applyFill="0" applyBorder="0" applyAlignment="0" applyProtection="0">
      <alignment vertical="top"/>
      <protection locked="0"/>
    </xf>
    <xf numFmtId="0" fontId="11" fillId="0" borderId="0">
      <alignment readingOrder="1"/>
    </xf>
    <xf numFmtId="0" fontId="11" fillId="0" borderId="0"/>
    <xf numFmtId="0" fontId="11" fillId="0" borderId="0"/>
    <xf numFmtId="0" fontId="25" fillId="0" borderId="0"/>
    <xf numFmtId="0" fontId="10" fillId="0" borderId="0"/>
    <xf numFmtId="0" fontId="9" fillId="0" borderId="0"/>
    <xf numFmtId="0" fontId="25" fillId="0" borderId="0"/>
    <xf numFmtId="0" fontId="25" fillId="0" borderId="0"/>
    <xf numFmtId="9" fontId="9" fillId="0" borderId="0" applyFont="0" applyFill="0" applyBorder="0" applyAlignment="0" applyProtection="0"/>
    <xf numFmtId="9" fontId="2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xf numFmtId="0" fontId="8"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1" fillId="2" borderId="0" applyNumberFormat="0" applyAlignment="0">
      <alignment horizontal="right"/>
    </xf>
    <xf numFmtId="0" fontId="24" fillId="0" borderId="0"/>
    <xf numFmtId="0" fontId="24" fillId="0" borderId="0"/>
    <xf numFmtId="0" fontId="24" fillId="0" borderId="0"/>
    <xf numFmtId="0" fontId="11" fillId="0" borderId="0"/>
    <xf numFmtId="0" fontId="24" fillId="0" borderId="0"/>
    <xf numFmtId="0" fontId="24" fillId="0" borderId="0"/>
    <xf numFmtId="0" fontId="11" fillId="0" borderId="0">
      <alignment readingOrder="1"/>
    </xf>
    <xf numFmtId="0" fontId="24" fillId="0" borderId="0"/>
    <xf numFmtId="0" fontId="11" fillId="0" borderId="0"/>
    <xf numFmtId="0" fontId="24" fillId="0" borderId="0"/>
    <xf numFmtId="0" fontId="24" fillId="0" borderId="0"/>
    <xf numFmtId="0" fontId="24" fillId="0" borderId="0"/>
    <xf numFmtId="0" fontId="32" fillId="0" borderId="0"/>
    <xf numFmtId="0" fontId="24" fillId="0" borderId="0"/>
    <xf numFmtId="0" fontId="24" fillId="0" borderId="0"/>
    <xf numFmtId="0" fontId="24" fillId="0" borderId="0"/>
    <xf numFmtId="0" fontId="24" fillId="0" borderId="0"/>
    <xf numFmtId="0" fontId="11" fillId="0" borderId="0">
      <alignment readingOrder="1"/>
    </xf>
    <xf numFmtId="9" fontId="11" fillId="0" borderId="0" applyFont="0" applyFill="0" applyBorder="0" applyAlignment="0" applyProtection="0"/>
    <xf numFmtId="9" fontId="11"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9" fillId="0" borderId="0">
      <alignment readingOrder="1"/>
    </xf>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0" borderId="0">
      <alignment readingOrder="1"/>
    </xf>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7"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0" borderId="0"/>
    <xf numFmtId="0" fontId="9" fillId="0" borderId="0">
      <alignment readingOrder="1"/>
    </xf>
    <xf numFmtId="0" fontId="9" fillId="0" borderId="0"/>
    <xf numFmtId="0" fontId="9" fillId="0" borderId="0">
      <alignment readingOrder="1"/>
    </xf>
    <xf numFmtId="9" fontId="9" fillId="0" borderId="0" applyFont="0" applyFill="0" applyBorder="0" applyAlignment="0" applyProtection="0"/>
    <xf numFmtId="9" fontId="9" fillId="0" borderId="0" applyFont="0" applyFill="0" applyBorder="0" applyAlignment="0" applyProtection="0"/>
    <xf numFmtId="0" fontId="9" fillId="0" borderId="0">
      <alignment readingOrder="1"/>
    </xf>
    <xf numFmtId="0" fontId="9" fillId="0" borderId="0"/>
    <xf numFmtId="0" fontId="36" fillId="0" borderId="0" applyNumberFormat="0" applyFill="0" applyBorder="0" applyAlignment="0" applyProtection="0">
      <alignment vertical="top"/>
      <protection locked="0"/>
    </xf>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3"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1"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4" borderId="0" applyNumberFormat="0" applyBorder="0" applyAlignment="0" applyProtection="0"/>
    <xf numFmtId="0" fontId="40" fillId="18" borderId="0" applyNumberFormat="0" applyBorder="0" applyAlignment="0" applyProtection="0"/>
    <xf numFmtId="0" fontId="41" fillId="35" borderId="16" applyNumberFormat="0" applyAlignment="0" applyProtection="0"/>
    <xf numFmtId="0" fontId="42" fillId="36" borderId="1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2" borderId="0" applyNumberFormat="0" applyAlignment="0">
      <alignment horizontal="right"/>
    </xf>
    <xf numFmtId="0" fontId="43" fillId="0" borderId="0" applyNumberFormat="0" applyFill="0" applyBorder="0" applyAlignment="0" applyProtection="0"/>
    <xf numFmtId="0" fontId="44" fillId="19" borderId="0" applyNumberFormat="0" applyBorder="0" applyAlignment="0" applyProtection="0"/>
    <xf numFmtId="0" fontId="45" fillId="0" borderId="18" applyNumberFormat="0" applyFill="0" applyAlignment="0" applyProtection="0"/>
    <xf numFmtId="0" fontId="38" fillId="0" borderId="19" applyNumberFormat="0" applyFill="0" applyAlignment="0" applyProtection="0"/>
    <xf numFmtId="0" fontId="38" fillId="0" borderId="0" applyNumberFormat="0" applyFill="0" applyBorder="0" applyAlignment="0" applyProtection="0"/>
    <xf numFmtId="0" fontId="46" fillId="22" borderId="16" applyNumberFormat="0" applyAlignment="0" applyProtection="0"/>
    <xf numFmtId="0" fontId="47" fillId="0" borderId="20" applyNumberFormat="0" applyFill="0" applyAlignment="0" applyProtection="0"/>
    <xf numFmtId="0" fontId="48" fillId="37" borderId="0" applyNumberFormat="0" applyBorder="0" applyAlignment="0" applyProtection="0"/>
    <xf numFmtId="0" fontId="9" fillId="0" borderId="0"/>
    <xf numFmtId="0" fontId="9" fillId="0" borderId="0"/>
    <xf numFmtId="0" fontId="9" fillId="0" borderId="0">
      <alignment readingOrder="1"/>
    </xf>
    <xf numFmtId="0" fontId="9" fillId="0" borderId="0">
      <alignment readingOrder="1"/>
    </xf>
    <xf numFmtId="0" fontId="9" fillId="0" borderId="0"/>
    <xf numFmtId="0" fontId="9" fillId="0" borderId="0"/>
    <xf numFmtId="0" fontId="7" fillId="0" borderId="0"/>
    <xf numFmtId="0" fontId="9" fillId="0" borderId="0">
      <alignment readingOrder="1"/>
    </xf>
    <xf numFmtId="0" fontId="24" fillId="38" borderId="21" applyNumberFormat="0" applyFont="0" applyAlignment="0" applyProtection="0"/>
    <xf numFmtId="0" fontId="49" fillId="35" borderId="22"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0" fillId="0" borderId="0" applyNumberFormat="0" applyFill="0" applyBorder="0" applyAlignment="0" applyProtection="0"/>
    <xf numFmtId="0" fontId="37" fillId="0" borderId="23" applyNumberFormat="0" applyFill="0" applyAlignment="0" applyProtection="0"/>
    <xf numFmtId="0" fontId="51" fillId="0" borderId="0" applyNumberFormat="0" applyFill="0" applyBorder="0" applyAlignment="0" applyProtection="0"/>
    <xf numFmtId="0" fontId="7" fillId="0" borderId="0"/>
    <xf numFmtId="0" fontId="7" fillId="0" borderId="0"/>
    <xf numFmtId="0" fontId="24" fillId="39" borderId="0" applyNumberFormat="0" applyBorder="0" applyAlignment="0" applyProtection="0"/>
    <xf numFmtId="0" fontId="24" fillId="18" borderId="0" applyNumberFormat="0" applyBorder="0" applyAlignment="0" applyProtection="0"/>
    <xf numFmtId="0" fontId="24" fillId="39" borderId="0" applyNumberFormat="0" applyBorder="0" applyAlignment="0" applyProtection="0"/>
    <xf numFmtId="0" fontId="24" fillId="3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5" borderId="0" applyNumberFormat="0" applyBorder="0" applyAlignment="0" applyProtection="0"/>
    <xf numFmtId="0" fontId="24" fillId="22" borderId="0" applyNumberFormat="0" applyBorder="0" applyAlignment="0" applyProtection="0"/>
    <xf numFmtId="0" fontId="39" fillId="2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35" borderId="0" applyNumberFormat="0" applyBorder="0" applyAlignment="0" applyProtection="0"/>
    <xf numFmtId="0" fontId="39" fillId="22" borderId="0" applyNumberFormat="0" applyBorder="0" applyAlignment="0" applyProtection="0"/>
    <xf numFmtId="0" fontId="39" fillId="29" borderId="0" applyNumberFormat="0" applyBorder="0" applyAlignment="0" applyProtection="0"/>
    <xf numFmtId="0" fontId="39" fillId="18" borderId="0" applyNumberFormat="0" applyBorder="0" applyAlignment="0" applyProtection="0"/>
    <xf numFmtId="0" fontId="39" fillId="40" borderId="0" applyNumberFormat="0" applyBorder="0" applyAlignment="0" applyProtection="0"/>
    <xf numFmtId="0" fontId="40" fillId="20" borderId="0" applyNumberFormat="0" applyBorder="0" applyAlignment="0" applyProtection="0"/>
    <xf numFmtId="0" fontId="41" fillId="39" borderId="16" applyNumberFormat="0" applyAlignment="0" applyProtection="0"/>
    <xf numFmtId="0" fontId="52" fillId="0" borderId="24" applyNumberFormat="0" applyFill="0" applyAlignment="0" applyProtection="0"/>
    <xf numFmtId="0" fontId="53" fillId="0" borderId="25" applyNumberFormat="0" applyFill="0" applyAlignment="0" applyProtection="0"/>
    <xf numFmtId="0" fontId="53" fillId="0" borderId="0" applyNumberFormat="0" applyFill="0" applyBorder="0" applyAlignment="0" applyProtection="0"/>
    <xf numFmtId="0" fontId="9" fillId="0" borderId="0">
      <alignment readingOrder="1"/>
    </xf>
    <xf numFmtId="0" fontId="9" fillId="0" borderId="0"/>
    <xf numFmtId="0" fontId="9" fillId="0" borderId="0"/>
    <xf numFmtId="0" fontId="7" fillId="0" borderId="0"/>
    <xf numFmtId="0" fontId="9" fillId="38" borderId="21" applyNumberFormat="0" applyFont="0" applyAlignment="0" applyProtection="0"/>
    <xf numFmtId="0" fontId="49" fillId="39" borderId="22" applyNumberFormat="0" applyAlignment="0" applyProtection="0"/>
    <xf numFmtId="9" fontId="7" fillId="0" borderId="0" applyFont="0" applyFill="0" applyBorder="0" applyAlignment="0" applyProtection="0"/>
    <xf numFmtId="0" fontId="54" fillId="0" borderId="0" applyNumberFormat="0" applyFill="0" applyBorder="0" applyAlignment="0" applyProtection="0"/>
    <xf numFmtId="0" fontId="37" fillId="0" borderId="26" applyNumberFormat="0" applyFill="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 fillId="0" borderId="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4" fillId="39"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4" fillId="18"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24" fillId="39"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24" fillId="35"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4" fillId="1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4" fillId="1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4" fillId="35"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24" fillId="22"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9" fillId="29" borderId="0" applyNumberFormat="0" applyBorder="0" applyAlignment="0" applyProtection="0"/>
    <xf numFmtId="0" fontId="39" fillId="24" borderId="0" applyNumberFormat="0" applyBorder="0" applyAlignment="0" applyProtection="0"/>
    <xf numFmtId="0" fontId="39" fillId="37" borderId="0" applyNumberFormat="0" applyBorder="0" applyAlignment="0" applyProtection="0"/>
    <xf numFmtId="0" fontId="39" fillId="35" borderId="0" applyNumberFormat="0" applyBorder="0" applyAlignment="0" applyProtection="0"/>
    <xf numFmtId="0" fontId="39" fillId="29" borderId="0" applyNumberFormat="0" applyBorder="0" applyAlignment="0" applyProtection="0"/>
    <xf numFmtId="0" fontId="39" fillId="22"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59" fillId="70" borderId="0" applyNumberFormat="0" applyBorder="0" applyAlignment="0" applyProtection="0"/>
    <xf numFmtId="0" fontId="39" fillId="29"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59" fillId="72" borderId="0" applyNumberFormat="0" applyBorder="0" applyAlignment="0" applyProtection="0"/>
    <xf numFmtId="0" fontId="39" fillId="32" borderId="0" applyNumberFormat="0" applyBorder="0" applyAlignment="0" applyProtection="0"/>
    <xf numFmtId="0" fontId="16" fillId="73" borderId="0" applyNumberFormat="0" applyBorder="0" applyAlignment="0" applyProtection="0"/>
    <xf numFmtId="0" fontId="16" fillId="74" borderId="0" applyNumberFormat="0" applyBorder="0" applyAlignment="0" applyProtection="0"/>
    <xf numFmtId="0" fontId="59" fillId="74" borderId="0" applyNumberFormat="0" applyBorder="0" applyAlignment="0" applyProtection="0"/>
    <xf numFmtId="0" fontId="39" fillId="33" borderId="0" applyNumberFormat="0" applyBorder="0" applyAlignment="0" applyProtection="0"/>
    <xf numFmtId="0" fontId="16" fillId="75" borderId="0" applyNumberFormat="0" applyBorder="0" applyAlignment="0" applyProtection="0"/>
    <xf numFmtId="0" fontId="16" fillId="75" borderId="0" applyNumberFormat="0" applyBorder="0" applyAlignment="0" applyProtection="0"/>
    <xf numFmtId="0" fontId="59" fillId="76" borderId="0" applyNumberFormat="0" applyBorder="0" applyAlignment="0" applyProtection="0"/>
    <xf numFmtId="0" fontId="39" fillId="40" borderId="0" applyNumberFormat="0" applyBorder="0" applyAlignment="0" applyProtection="0"/>
    <xf numFmtId="0" fontId="16" fillId="77" borderId="0" applyNumberFormat="0" applyBorder="0" applyAlignment="0" applyProtection="0"/>
    <xf numFmtId="0" fontId="16" fillId="69" borderId="0" applyNumberFormat="0" applyBorder="0" applyAlignment="0" applyProtection="0"/>
    <xf numFmtId="0" fontId="59" fillId="78" borderId="0" applyNumberFormat="0" applyBorder="0" applyAlignment="0" applyProtection="0"/>
    <xf numFmtId="0" fontId="39" fillId="29" borderId="0" applyNumberFormat="0" applyBorder="0" applyAlignment="0" applyProtection="0"/>
    <xf numFmtId="0" fontId="16" fillId="79" borderId="0" applyNumberFormat="0" applyBorder="0" applyAlignment="0" applyProtection="0"/>
    <xf numFmtId="0" fontId="16" fillId="80" borderId="0" applyNumberFormat="0" applyBorder="0" applyAlignment="0" applyProtection="0"/>
    <xf numFmtId="0" fontId="59" fillId="81" borderId="0" applyNumberFormat="0" applyBorder="0" applyAlignment="0" applyProtection="0"/>
    <xf numFmtId="0" fontId="39" fillId="34" borderId="0" applyNumberFormat="0" applyBorder="0" applyAlignment="0" applyProtection="0"/>
    <xf numFmtId="0" fontId="40" fillId="18" borderId="0" applyNumberFormat="0" applyBorder="0" applyAlignment="0" applyProtection="0"/>
    <xf numFmtId="0" fontId="41" fillId="39" borderId="16" applyNumberFormat="0" applyAlignment="0" applyProtection="0"/>
    <xf numFmtId="0" fontId="42" fillId="36" borderId="17" applyNumberFormat="0" applyAlignment="0" applyProtection="0"/>
    <xf numFmtId="41" fontId="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2" borderId="0" applyNumberFormat="0" applyAlignment="0">
      <alignment horizontal="right"/>
    </xf>
    <xf numFmtId="0" fontId="9" fillId="3" borderId="0" applyNumberFormat="0" applyAlignment="0"/>
    <xf numFmtId="0" fontId="9" fillId="3" borderId="0" applyNumberFormat="0" applyAlignment="0"/>
    <xf numFmtId="0" fontId="9" fillId="3" borderId="0" applyNumberFormat="0" applyAlignment="0"/>
    <xf numFmtId="0" fontId="9" fillId="3" borderId="0" applyNumberFormat="0" applyAlignment="0"/>
    <xf numFmtId="0" fontId="63" fillId="82" borderId="0" applyNumberFormat="0" applyBorder="0" applyAlignment="0" applyProtection="0"/>
    <xf numFmtId="0" fontId="63" fillId="83" borderId="0" applyNumberFormat="0" applyBorder="0" applyAlignment="0" applyProtection="0"/>
    <xf numFmtId="0" fontId="63" fillId="84" borderId="0" applyNumberFormat="0" applyBorder="0" applyAlignment="0" applyProtection="0"/>
    <xf numFmtId="0" fontId="43" fillId="0" borderId="0" applyNumberFormat="0" applyFill="0" applyBorder="0" applyAlignment="0" applyProtection="0"/>
    <xf numFmtId="0" fontId="44" fillId="19" borderId="0" applyNumberFormat="0" applyBorder="0" applyAlignment="0" applyProtection="0"/>
    <xf numFmtId="0" fontId="52" fillId="0" borderId="24" applyNumberFormat="0" applyFill="0" applyAlignment="0" applyProtection="0"/>
    <xf numFmtId="0" fontId="64" fillId="0" borderId="43" applyNumberFormat="0" applyFill="0" applyAlignment="0" applyProtection="0"/>
    <xf numFmtId="0" fontId="64" fillId="0" borderId="43" applyNumberFormat="0" applyFill="0" applyAlignment="0" applyProtection="0"/>
    <xf numFmtId="0" fontId="65" fillId="0" borderId="44" applyNumberFormat="0" applyFill="0" applyAlignment="0" applyProtection="0"/>
    <xf numFmtId="0" fontId="12" fillId="4" borderId="1">
      <alignment horizontal="left"/>
    </xf>
    <xf numFmtId="0" fontId="53" fillId="0" borderId="25" applyNumberFormat="0" applyFill="0" applyAlignment="0" applyProtection="0"/>
    <xf numFmtId="0" fontId="53" fillId="0" borderId="0" applyNumberFormat="0" applyFill="0" applyBorder="0" applyAlignment="0" applyProtection="0"/>
    <xf numFmtId="0" fontId="66" fillId="0" borderId="0" applyNumberFormat="0" applyFill="0" applyBorder="0" applyAlignment="0" applyProtection="0">
      <alignment vertical="top"/>
      <protection locked="0"/>
    </xf>
    <xf numFmtId="0" fontId="67" fillId="0" borderId="0" applyNumberFormat="0" applyFill="0" applyBorder="0" applyProtection="0">
      <alignment horizontal="left"/>
    </xf>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4" fillId="0" borderId="0" applyNumberFormat="0" applyFill="0" applyBorder="0" applyAlignment="0" applyProtection="0">
      <alignment readingOrder="1"/>
    </xf>
    <xf numFmtId="0" fontId="69" fillId="0" borderId="0" applyNumberFormat="0" applyFill="0" applyBorder="0" applyAlignment="0" applyProtection="0">
      <alignment vertical="top"/>
      <protection locked="0"/>
    </xf>
    <xf numFmtId="0" fontId="70" fillId="0" borderId="0" applyNumberFormat="0" applyFill="0" applyBorder="0" applyAlignment="0" applyProtection="0"/>
    <xf numFmtId="0" fontId="71"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readingOrder="1"/>
    </xf>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46" fillId="22" borderId="16" applyNumberFormat="0" applyAlignment="0" applyProtection="0"/>
    <xf numFmtId="0" fontId="47" fillId="0" borderId="20" applyNumberFormat="0" applyFill="0" applyAlignment="0" applyProtection="0"/>
    <xf numFmtId="0" fontId="48" fillId="37" borderId="0" applyNumberFormat="0" applyBorder="0" applyAlignment="0" applyProtection="0"/>
    <xf numFmtId="0" fontId="24" fillId="0" borderId="0"/>
    <xf numFmtId="0" fontId="9" fillId="0" borderId="0"/>
    <xf numFmtId="0" fontId="24" fillId="0" borderId="0"/>
    <xf numFmtId="0" fontId="24" fillId="0" borderId="0"/>
    <xf numFmtId="0" fontId="9" fillId="0" borderId="0">
      <alignment readingOrder="1"/>
    </xf>
    <xf numFmtId="0" fontId="9" fillId="0" borderId="0"/>
    <xf numFmtId="0" fontId="9" fillId="0" borderId="0">
      <alignment readingOrder="1"/>
    </xf>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9" fillId="0" borderId="0"/>
    <xf numFmtId="0" fontId="3" fillId="0" borderId="0"/>
    <xf numFmtId="0" fontId="3" fillId="0" borderId="0"/>
    <xf numFmtId="0" fontId="9" fillId="0" borderId="0">
      <alignment readingOrder="1"/>
    </xf>
    <xf numFmtId="0" fontId="3" fillId="0" borderId="0"/>
    <xf numFmtId="0" fontId="2" fillId="0" borderId="0"/>
    <xf numFmtId="0" fontId="72"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9" fillId="0" borderId="0">
      <alignment readingOrder="1"/>
    </xf>
    <xf numFmtId="0" fontId="9" fillId="0" borderId="0"/>
    <xf numFmtId="0" fontId="9" fillId="0" borderId="0">
      <alignment readingOrder="1"/>
    </xf>
    <xf numFmtId="0" fontId="9" fillId="0" borderId="0"/>
    <xf numFmtId="0" fontId="9" fillId="0" borderId="0"/>
    <xf numFmtId="0" fontId="9" fillId="0" borderId="0"/>
    <xf numFmtId="0" fontId="24"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9" fillId="0" borderId="0">
      <alignment readingOrder="1"/>
    </xf>
    <xf numFmtId="0" fontId="24" fillId="0" borderId="0"/>
    <xf numFmtId="0" fontId="3" fillId="0" borderId="0"/>
    <xf numFmtId="0" fontId="3" fillId="0" borderId="0"/>
    <xf numFmtId="0" fontId="3" fillId="0" borderId="0"/>
    <xf numFmtId="0" fontId="9" fillId="0" borderId="0">
      <alignment readingOrder="1"/>
    </xf>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3" fillId="0" borderId="0"/>
    <xf numFmtId="0" fontId="74" fillId="0" borderId="0"/>
    <xf numFmtId="0" fontId="74" fillId="0" borderId="0"/>
    <xf numFmtId="0" fontId="74" fillId="0" borderId="0"/>
    <xf numFmtId="0" fontId="9" fillId="0" borderId="0"/>
    <xf numFmtId="0" fontId="9" fillId="0" borderId="0"/>
    <xf numFmtId="0" fontId="9" fillId="0" borderId="0"/>
    <xf numFmtId="0" fontId="74" fillId="0" borderId="0"/>
    <xf numFmtId="0" fontId="74" fillId="0" borderId="0"/>
    <xf numFmtId="0" fontId="74" fillId="0" borderId="0"/>
    <xf numFmtId="0" fontId="9" fillId="0" borderId="0"/>
    <xf numFmtId="0" fontId="9" fillId="0" borderId="0"/>
    <xf numFmtId="0" fontId="9" fillId="0" borderId="0">
      <alignment readingOrder="1"/>
    </xf>
    <xf numFmtId="0" fontId="9" fillId="0" borderId="0"/>
    <xf numFmtId="0" fontId="9" fillId="0" borderId="0"/>
    <xf numFmtId="0" fontId="9" fillId="0" borderId="0"/>
    <xf numFmtId="0" fontId="9" fillId="0" borderId="0"/>
    <xf numFmtId="0" fontId="2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2"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9" fillId="0" borderId="0"/>
    <xf numFmtId="0" fontId="3" fillId="0" borderId="0"/>
    <xf numFmtId="0" fontId="3" fillId="0" borderId="0"/>
    <xf numFmtId="0" fontId="9"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24" fillId="0" borderId="0"/>
    <xf numFmtId="0" fontId="24" fillId="0" borderId="0"/>
    <xf numFmtId="0" fontId="24" fillId="0" borderId="0"/>
    <xf numFmtId="0" fontId="24" fillId="0" borderId="0"/>
    <xf numFmtId="0" fontId="9" fillId="0" borderId="0">
      <alignment readingOrder="1"/>
    </xf>
    <xf numFmtId="0" fontId="9" fillId="0" borderId="0">
      <alignment readingOrder="1"/>
    </xf>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9" fillId="38" borderId="21"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3" fillId="55" borderId="42" applyNumberFormat="0" applyFont="0" applyAlignment="0" applyProtection="0"/>
    <xf numFmtId="0" fontId="24" fillId="38" borderId="21" applyNumberFormat="0" applyFont="0" applyAlignment="0" applyProtection="0"/>
    <xf numFmtId="0" fontId="49" fillId="39" borderId="22"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0" fontId="50" fillId="0" borderId="0" applyNumberFormat="0" applyFill="0" applyBorder="0" applyAlignment="0" applyProtection="0"/>
    <xf numFmtId="0" fontId="75" fillId="0" borderId="0"/>
    <xf numFmtId="0" fontId="76" fillId="0" borderId="0"/>
    <xf numFmtId="176" fontId="9" fillId="0" borderId="0" applyFill="0" applyBorder="0" applyAlignment="0" applyProtection="0">
      <alignment wrapText="1"/>
    </xf>
    <xf numFmtId="0" fontId="54" fillId="0" borderId="0" applyNumberFormat="0" applyFill="0" applyBorder="0" applyAlignment="0" applyProtection="0"/>
    <xf numFmtId="0" fontId="49" fillId="0" borderId="26" applyNumberFormat="0" applyFill="0" applyAlignment="0" applyProtection="0"/>
    <xf numFmtId="0" fontId="51" fillId="0" borderId="0" applyNumberFormat="0" applyFill="0" applyBorder="0" applyAlignment="0" applyProtection="0"/>
    <xf numFmtId="0" fontId="77" fillId="0" borderId="0">
      <alignment vertical="center"/>
    </xf>
    <xf numFmtId="0" fontId="9" fillId="0" borderId="0"/>
    <xf numFmtId="43" fontId="80" fillId="0" borderId="0" applyFont="0" applyFill="0" applyBorder="0" applyAlignment="0" applyProtection="0"/>
    <xf numFmtId="0" fontId="9" fillId="0" borderId="0">
      <alignment readingOrder="1"/>
    </xf>
    <xf numFmtId="0" fontId="73" fillId="90" borderId="51" applyNumberFormat="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9" fillId="2" borderId="0" applyNumberFormat="0" applyAlignment="0">
      <alignment horizontal="right"/>
    </xf>
    <xf numFmtId="0" fontId="9" fillId="3" borderId="0" applyNumberFormat="0" applyAlignment="0"/>
    <xf numFmtId="0" fontId="82" fillId="0" borderId="43" applyNumberFormat="0" applyFill="0" applyAlignment="0" applyProtection="0"/>
    <xf numFmtId="0" fontId="14" fillId="0" borderId="0" applyNumberFormat="0" applyFill="0" applyBorder="0" applyAlignment="0" applyProtection="0">
      <alignment vertical="top"/>
      <protection locked="0"/>
    </xf>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alignment readingOrder="1"/>
    </xf>
    <xf numFmtId="0" fontId="3" fillId="0" borderId="0"/>
    <xf numFmtId="0" fontId="3" fillId="0" borderId="0"/>
    <xf numFmtId="0" fontId="3" fillId="0" borderId="0"/>
    <xf numFmtId="0" fontId="9" fillId="0" borderId="0">
      <alignment readingOrder="1"/>
    </xf>
    <xf numFmtId="0" fontId="9" fillId="0" borderId="0">
      <alignment readingOrder="1"/>
    </xf>
    <xf numFmtId="0" fontId="3"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readingOrder="1"/>
    </xf>
    <xf numFmtId="0" fontId="9" fillId="0" borderId="0">
      <alignment readingOrder="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8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alignment readingOrder="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32" fillId="0" borderId="0"/>
    <xf numFmtId="0" fontId="3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9" fillId="0" borderId="0">
      <alignment readingOrder="1"/>
    </xf>
    <xf numFmtId="0" fontId="85" fillId="37" borderId="21" applyNumberFormat="0" applyFont="0" applyAlignment="0" applyProtection="0"/>
    <xf numFmtId="0" fontId="85" fillId="37" borderId="21" applyNumberFormat="0" applyFont="0" applyAlignment="0" applyProtection="0"/>
    <xf numFmtId="0" fontId="85" fillId="37" borderId="21"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cellStyleXfs>
  <cellXfs count="384">
    <xf numFmtId="0" fontId="0" fillId="0" borderId="0" xfId="0">
      <alignment readingOrder="1"/>
    </xf>
    <xf numFmtId="0" fontId="12" fillId="5" borderId="2" xfId="16" applyFont="1" applyFill="1" applyBorder="1" applyAlignment="1">
      <alignment horizontal="centerContinuous"/>
    </xf>
    <xf numFmtId="0" fontId="17" fillId="5" borderId="2" xfId="16" applyFont="1" applyFill="1" applyBorder="1" applyAlignment="1">
      <alignment horizontal="centerContinuous"/>
    </xf>
    <xf numFmtId="0" fontId="17" fillId="5" borderId="3" xfId="16" applyFont="1" applyFill="1" applyBorder="1" applyAlignment="1">
      <alignment horizontal="centerContinuous"/>
    </xf>
    <xf numFmtId="0" fontId="15" fillId="5" borderId="4" xfId="16" applyFont="1" applyFill="1" applyBorder="1" applyAlignment="1">
      <alignment horizontal="centerContinuous"/>
    </xf>
    <xf numFmtId="0" fontId="20" fillId="0" borderId="0" xfId="16" applyFont="1"/>
    <xf numFmtId="0" fontId="11" fillId="0" borderId="0" xfId="16" applyFont="1"/>
    <xf numFmtId="5" fontId="11" fillId="0" borderId="0" xfId="16" applyNumberFormat="1" applyFont="1"/>
    <xf numFmtId="164" fontId="11" fillId="0" borderId="0" xfId="16" applyNumberFormat="1" applyFont="1"/>
    <xf numFmtId="0" fontId="11" fillId="0" borderId="0" xfId="16" applyFont="1" applyAlignment="1">
      <alignment horizontal="center"/>
    </xf>
    <xf numFmtId="0" fontId="16" fillId="6" borderId="5" xfId="16" applyFont="1" applyFill="1" applyBorder="1" applyAlignment="1">
      <alignment horizontal="center" wrapText="1"/>
    </xf>
    <xf numFmtId="0" fontId="16" fillId="6" borderId="6" xfId="16" applyFont="1" applyFill="1" applyBorder="1" applyAlignment="1">
      <alignment horizontal="center" wrapText="1"/>
    </xf>
    <xf numFmtId="0" fontId="11" fillId="0" borderId="0" xfId="16" applyFont="1" applyFill="1" applyBorder="1"/>
    <xf numFmtId="0" fontId="17" fillId="0" borderId="0" xfId="16" applyFont="1" applyFill="1" applyBorder="1" applyAlignment="1">
      <alignment horizontal="centerContinuous"/>
    </xf>
    <xf numFmtId="0" fontId="15" fillId="0" borderId="0" xfId="16" applyFont="1" applyFill="1" applyBorder="1" applyAlignment="1">
      <alignment horizontal="centerContinuous"/>
    </xf>
    <xf numFmtId="0" fontId="16" fillId="0" borderId="0" xfId="16" applyFont="1" applyFill="1" applyBorder="1" applyAlignment="1">
      <alignment horizontal="centerContinuous"/>
    </xf>
    <xf numFmtId="0" fontId="16" fillId="0" borderId="0" xfId="16" applyFont="1" applyFill="1" applyBorder="1" applyAlignment="1">
      <alignment horizontal="center" wrapText="1"/>
    </xf>
    <xf numFmtId="0" fontId="20" fillId="0" borderId="0" xfId="16" applyFont="1" applyAlignment="1">
      <alignment horizontal="left"/>
    </xf>
    <xf numFmtId="170" fontId="11" fillId="0" borderId="0" xfId="16" applyNumberFormat="1" applyFont="1"/>
    <xf numFmtId="0" fontId="16" fillId="6" borderId="6" xfId="0" applyFont="1" applyFill="1" applyBorder="1" applyAlignment="1">
      <alignment horizontal="center" wrapText="1"/>
    </xf>
    <xf numFmtId="0" fontId="11" fillId="0" borderId="0" xfId="16" applyFont="1" applyFill="1"/>
    <xf numFmtId="169" fontId="0" fillId="0" borderId="0" xfId="0" applyNumberFormat="1" applyAlignment="1">
      <alignment horizontal="center" readingOrder="1"/>
    </xf>
    <xf numFmtId="168" fontId="0" fillId="0" borderId="0" xfId="0" applyNumberFormat="1" applyAlignment="1">
      <alignment horizontal="center" readingOrder="1"/>
    </xf>
    <xf numFmtId="0" fontId="19" fillId="0" borderId="0" xfId="0" applyFont="1">
      <alignment readingOrder="1"/>
    </xf>
    <xf numFmtId="0" fontId="25" fillId="0" borderId="9" xfId="18" applyBorder="1" applyAlignment="1">
      <alignment wrapText="1"/>
    </xf>
    <xf numFmtId="0" fontId="28" fillId="0" borderId="0" xfId="0" applyFont="1">
      <alignment readingOrder="1"/>
    </xf>
    <xf numFmtId="0" fontId="26" fillId="0" borderId="3" xfId="18" quotePrefix="1" applyFont="1" applyFill="1" applyBorder="1" applyAlignment="1">
      <alignment wrapText="1"/>
    </xf>
    <xf numFmtId="0" fontId="26" fillId="0" borderId="3" xfId="18" applyFont="1" applyFill="1" applyBorder="1" applyAlignment="1">
      <alignment wrapText="1"/>
    </xf>
    <xf numFmtId="0" fontId="16" fillId="6" borderId="9" xfId="16" applyFont="1" applyFill="1" applyBorder="1" applyAlignment="1">
      <alignment horizontal="center" wrapText="1"/>
    </xf>
    <xf numFmtId="0" fontId="30" fillId="0" borderId="0" xfId="17" applyFont="1"/>
    <xf numFmtId="164" fontId="30" fillId="0" borderId="0" xfId="16" applyNumberFormat="1" applyFont="1"/>
    <xf numFmtId="0" fontId="17" fillId="16" borderId="4" xfId="16" applyFont="1" applyFill="1" applyBorder="1" applyAlignment="1">
      <alignment horizontal="center"/>
    </xf>
    <xf numFmtId="0" fontId="16" fillId="13" borderId="4" xfId="16" applyFont="1" applyFill="1" applyBorder="1" applyAlignment="1">
      <alignment horizontal="center" wrapText="1"/>
    </xf>
    <xf numFmtId="0" fontId="16" fillId="13" borderId="9" xfId="16" applyFont="1" applyFill="1" applyBorder="1" applyAlignment="1">
      <alignment horizontal="center" wrapText="1"/>
    </xf>
    <xf numFmtId="0" fontId="9" fillId="0" borderId="0" xfId="0" applyFont="1">
      <alignment readingOrder="1"/>
    </xf>
    <xf numFmtId="0" fontId="0" fillId="0" borderId="0" xfId="0"/>
    <xf numFmtId="0" fontId="9" fillId="0" borderId="0" xfId="0" applyFont="1"/>
    <xf numFmtId="0" fontId="0" fillId="0" borderId="0" xfId="0" applyFill="1">
      <alignment readingOrder="1"/>
    </xf>
    <xf numFmtId="0" fontId="9" fillId="41" borderId="0" xfId="78" applyFill="1" applyAlignment="1">
      <alignment readingOrder="1"/>
    </xf>
    <xf numFmtId="0" fontId="19" fillId="0" borderId="0" xfId="78" applyFont="1" applyFill="1" applyAlignment="1">
      <alignment readingOrder="1"/>
    </xf>
    <xf numFmtId="0" fontId="9" fillId="0" borderId="0" xfId="78" applyFill="1" applyAlignment="1">
      <alignment readingOrder="1"/>
    </xf>
    <xf numFmtId="0" fontId="9" fillId="0" borderId="0" xfId="78" applyAlignment="1">
      <alignment readingOrder="1"/>
    </xf>
    <xf numFmtId="0" fontId="9" fillId="0" borderId="0" xfId="78" applyFill="1" applyBorder="1" applyAlignment="1">
      <alignment readingOrder="1"/>
    </xf>
    <xf numFmtId="0" fontId="9" fillId="7" borderId="9" xfId="78" applyFill="1" applyBorder="1" applyAlignment="1">
      <alignment wrapText="1" readingOrder="1"/>
    </xf>
    <xf numFmtId="0" fontId="9" fillId="7" borderId="9" xfId="78" applyFont="1" applyFill="1" applyBorder="1" applyAlignment="1">
      <alignment wrapText="1" readingOrder="1"/>
    </xf>
    <xf numFmtId="0" fontId="9" fillId="0" borderId="0" xfId="78" applyFill="1" applyBorder="1" applyAlignment="1">
      <alignment wrapText="1" readingOrder="1"/>
    </xf>
    <xf numFmtId="0" fontId="9" fillId="0" borderId="0" xfId="78" applyFont="1" applyFill="1" applyBorder="1" applyAlignment="1">
      <alignment horizontal="left" wrapText="1" readingOrder="1"/>
    </xf>
    <xf numFmtId="0" fontId="19" fillId="11" borderId="9" xfId="78" applyFont="1" applyFill="1" applyBorder="1" applyAlignment="1">
      <alignment vertical="center" wrapText="1" readingOrder="1"/>
    </xf>
    <xf numFmtId="0" fontId="9" fillId="0" borderId="0" xfId="78" applyBorder="1" applyAlignment="1">
      <alignment vertical="center" readingOrder="1"/>
    </xf>
    <xf numFmtId="0" fontId="9" fillId="0" borderId="9" xfId="79" applyFont="1" applyBorder="1" applyAlignment="1">
      <alignment vertical="center" wrapText="1"/>
    </xf>
    <xf numFmtId="0" fontId="19" fillId="12" borderId="3" xfId="78" applyFont="1" applyFill="1" applyBorder="1" applyAlignment="1">
      <alignment vertical="center" wrapText="1" readingOrder="1"/>
    </xf>
    <xf numFmtId="0" fontId="9" fillId="0" borderId="0" xfId="78" applyFont="1" applyBorder="1" applyAlignment="1">
      <alignment horizontal="center" vertical="center" wrapText="1" readingOrder="1"/>
    </xf>
    <xf numFmtId="0" fontId="19" fillId="12" borderId="9" xfId="78" applyFont="1" applyFill="1" applyBorder="1" applyAlignment="1">
      <alignment horizontal="center" vertical="center" wrapText="1" readingOrder="1"/>
    </xf>
    <xf numFmtId="0" fontId="9" fillId="0" borderId="9" xfId="79" applyFont="1" applyFill="1" applyBorder="1" applyAlignment="1">
      <alignment vertical="center" wrapText="1"/>
    </xf>
    <xf numFmtId="0" fontId="9" fillId="0" borderId="9" xfId="79" applyBorder="1" applyAlignment="1">
      <alignment vertical="center" wrapText="1"/>
    </xf>
    <xf numFmtId="0" fontId="9" fillId="42" borderId="9" xfId="79" applyFill="1" applyBorder="1" applyAlignment="1">
      <alignment vertical="center" wrapText="1"/>
    </xf>
    <xf numFmtId="0" fontId="9" fillId="42" borderId="9" xfId="79" applyFont="1" applyFill="1" applyBorder="1" applyAlignment="1">
      <alignment vertical="center" wrapText="1"/>
    </xf>
    <xf numFmtId="0" fontId="19" fillId="8" borderId="2" xfId="78" applyFont="1" applyFill="1" applyBorder="1" applyAlignment="1">
      <alignment vertical="center" readingOrder="1"/>
    </xf>
    <xf numFmtId="0" fontId="19" fillId="8" borderId="27" xfId="78" applyFont="1" applyFill="1" applyBorder="1" applyAlignment="1">
      <alignment vertical="center" readingOrder="1"/>
    </xf>
    <xf numFmtId="0" fontId="9" fillId="8" borderId="10" xfId="78" applyFill="1" applyBorder="1" applyAlignment="1">
      <alignment vertical="center" wrapText="1" readingOrder="1"/>
    </xf>
    <xf numFmtId="0" fontId="27" fillId="0" borderId="0" xfId="78" applyFont="1" applyAlignment="1">
      <alignment vertical="center" wrapText="1" readingOrder="1"/>
    </xf>
    <xf numFmtId="0" fontId="9" fillId="0" borderId="0" xfId="78" applyAlignment="1">
      <alignment vertical="center" wrapText="1" readingOrder="1"/>
    </xf>
    <xf numFmtId="0" fontId="19" fillId="8" borderId="9" xfId="78" applyFont="1" applyFill="1" applyBorder="1" applyAlignment="1">
      <alignment horizontal="center" vertical="center" wrapText="1" readingOrder="1"/>
    </xf>
    <xf numFmtId="2" fontId="9" fillId="0" borderId="3" xfId="79" applyNumberFormat="1" applyFont="1" applyFill="1" applyBorder="1" applyAlignment="1">
      <alignment horizontal="center" wrapText="1"/>
    </xf>
    <xf numFmtId="2" fontId="9" fillId="0" borderId="7" xfId="79" applyNumberFormat="1" applyFont="1" applyFill="1" applyBorder="1" applyAlignment="1">
      <alignment horizontal="center" vertical="center" wrapText="1"/>
    </xf>
    <xf numFmtId="2" fontId="9" fillId="0" borderId="6" xfId="79" applyNumberFormat="1" applyFont="1" applyFill="1" applyBorder="1" applyAlignment="1">
      <alignment horizontal="center" vertical="top" wrapText="1"/>
    </xf>
    <xf numFmtId="0" fontId="19" fillId="43" borderId="8" xfId="78" applyFont="1" applyFill="1" applyBorder="1" applyAlignment="1">
      <alignment vertical="top" readingOrder="1"/>
    </xf>
    <xf numFmtId="0" fontId="19" fillId="43" borderId="4" xfId="78" applyFont="1" applyFill="1" applyBorder="1" applyAlignment="1">
      <alignment vertical="top" readingOrder="1"/>
    </xf>
    <xf numFmtId="0" fontId="19" fillId="43" borderId="2" xfId="78" applyFont="1" applyFill="1" applyBorder="1" applyAlignment="1">
      <alignment horizontal="center" vertical="center" readingOrder="1"/>
    </xf>
    <xf numFmtId="0" fontId="19" fillId="43" borderId="3" xfId="78" applyFont="1" applyFill="1" applyBorder="1" applyAlignment="1">
      <alignment horizontal="center" vertical="center" readingOrder="1"/>
    </xf>
    <xf numFmtId="0" fontId="19" fillId="43" borderId="9" xfId="78" applyFont="1" applyFill="1" applyBorder="1" applyAlignment="1">
      <alignment horizontal="center" vertical="center" readingOrder="1"/>
    </xf>
    <xf numFmtId="0" fontId="19" fillId="43" borderId="3" xfId="78" applyFont="1" applyFill="1" applyBorder="1" applyAlignment="1">
      <alignment horizontal="center" vertical="center" wrapText="1" readingOrder="1"/>
    </xf>
    <xf numFmtId="0" fontId="9" fillId="0" borderId="9" xfId="78" applyFill="1" applyBorder="1" applyAlignment="1">
      <alignment horizontal="left" vertical="center" wrapText="1" readingOrder="1"/>
    </xf>
    <xf numFmtId="0" fontId="9" fillId="0" borderId="9" xfId="78" applyBorder="1" applyAlignment="1">
      <alignment horizontal="center" vertical="center" readingOrder="1"/>
    </xf>
    <xf numFmtId="0" fontId="9" fillId="0" borderId="9" xfId="78" applyFill="1" applyBorder="1" applyAlignment="1">
      <alignment vertical="center" readingOrder="1"/>
    </xf>
    <xf numFmtId="0" fontId="9" fillId="0" borderId="9" xfId="78" applyBorder="1" applyAlignment="1">
      <alignment readingOrder="1"/>
    </xf>
    <xf numFmtId="0" fontId="9" fillId="0" borderId="9" xfId="78" applyBorder="1" applyAlignment="1">
      <alignment vertical="center" wrapText="1" readingOrder="1"/>
    </xf>
    <xf numFmtId="0" fontId="9" fillId="0" borderId="9" xfId="78" applyBorder="1" applyAlignment="1">
      <alignment vertical="top" wrapText="1" readingOrder="1"/>
    </xf>
    <xf numFmtId="0" fontId="9" fillId="0" borderId="0" xfId="78" applyAlignment="1">
      <alignment vertical="top" wrapText="1" readingOrder="1"/>
    </xf>
    <xf numFmtId="0" fontId="9" fillId="0" borderId="5" xfId="78" applyBorder="1" applyAlignment="1">
      <alignment horizontal="center" vertical="center" wrapText="1" readingOrder="1"/>
    </xf>
    <xf numFmtId="0" fontId="9" fillId="0" borderId="9" xfId="78" applyBorder="1" applyAlignment="1">
      <alignment horizontal="center" vertical="center" wrapText="1" readingOrder="1"/>
    </xf>
    <xf numFmtId="0" fontId="9" fillId="14" borderId="9" xfId="78" applyFill="1" applyBorder="1" applyAlignment="1">
      <alignment horizontal="left" vertical="center" wrapText="1" readingOrder="1"/>
    </xf>
    <xf numFmtId="0" fontId="9" fillId="14" borderId="6" xfId="78" applyFill="1" applyBorder="1" applyAlignment="1">
      <alignment vertical="center" wrapText="1" readingOrder="1"/>
    </xf>
    <xf numFmtId="0" fontId="9" fillId="14" borderId="6" xfId="78" applyFill="1" applyBorder="1" applyAlignment="1">
      <alignment vertical="top" wrapText="1" readingOrder="1"/>
    </xf>
    <xf numFmtId="0" fontId="9" fillId="14" borderId="6" xfId="78" applyFont="1" applyFill="1" applyBorder="1" applyAlignment="1">
      <alignment horizontal="center" vertical="top" wrapText="1" readingOrder="1"/>
    </xf>
    <xf numFmtId="9" fontId="9" fillId="14" borderId="6" xfId="78" applyNumberFormat="1" applyFill="1" applyBorder="1" applyAlignment="1">
      <alignment horizontal="center" vertical="center" wrapText="1" readingOrder="1"/>
    </xf>
    <xf numFmtId="0" fontId="9" fillId="0" borderId="28" xfId="78" applyBorder="1" applyAlignment="1">
      <alignment horizontal="center" vertical="center" wrapText="1" readingOrder="1"/>
    </xf>
    <xf numFmtId="0" fontId="9" fillId="0" borderId="0" xfId="78" applyBorder="1" applyAlignment="1">
      <alignment horizontal="center" vertical="center" wrapText="1" readingOrder="1"/>
    </xf>
    <xf numFmtId="0" fontId="9" fillId="0" borderId="0" xfId="78" applyBorder="1" applyAlignment="1">
      <alignment horizontal="left" vertical="center" wrapText="1" readingOrder="1"/>
    </xf>
    <xf numFmtId="0" fontId="9" fillId="0" borderId="0" xfId="78" applyBorder="1" applyAlignment="1">
      <alignment vertical="top" wrapText="1" readingOrder="1"/>
    </xf>
    <xf numFmtId="0" fontId="9" fillId="0" borderId="0" xfId="78" applyFont="1" applyBorder="1" applyAlignment="1">
      <alignment horizontal="center" vertical="top" wrapText="1" readingOrder="1"/>
    </xf>
    <xf numFmtId="9" fontId="9" fillId="0" borderId="0" xfId="78" applyNumberFormat="1" applyBorder="1" applyAlignment="1">
      <alignment horizontal="center" vertical="center" wrapText="1" readingOrder="1"/>
    </xf>
    <xf numFmtId="0" fontId="19" fillId="44" borderId="9" xfId="78" applyFont="1" applyFill="1" applyBorder="1" applyAlignment="1">
      <alignment vertical="top" readingOrder="1"/>
    </xf>
    <xf numFmtId="0" fontId="9" fillId="0" borderId="0" xfId="78" applyFont="1" applyBorder="1" applyAlignment="1">
      <alignment vertical="top" wrapText="1" readingOrder="1"/>
    </xf>
    <xf numFmtId="0" fontId="19" fillId="44" borderId="9" xfId="78" applyFont="1" applyFill="1" applyBorder="1" applyAlignment="1">
      <alignment horizontal="center" vertical="center" readingOrder="1"/>
    </xf>
    <xf numFmtId="0" fontId="19" fillId="44" borderId="9" xfId="78" applyFont="1" applyFill="1" applyBorder="1" applyAlignment="1">
      <alignment horizontal="center" vertical="top" wrapText="1" readingOrder="1"/>
    </xf>
    <xf numFmtId="0" fontId="9" fillId="44" borderId="9" xfId="78" applyFill="1" applyBorder="1" applyAlignment="1">
      <alignment vertical="top" wrapText="1" readingOrder="1"/>
    </xf>
    <xf numFmtId="0" fontId="19" fillId="44" borderId="9" xfId="78" applyFont="1" applyFill="1" applyBorder="1" applyAlignment="1">
      <alignment horizontal="center" vertical="center" wrapText="1" readingOrder="1"/>
    </xf>
    <xf numFmtId="0" fontId="9" fillId="44" borderId="3" xfId="78" applyFill="1" applyBorder="1" applyAlignment="1">
      <alignment vertical="top" wrapText="1" readingOrder="1"/>
    </xf>
    <xf numFmtId="0" fontId="9" fillId="0" borderId="9" xfId="78" applyBorder="1" applyAlignment="1">
      <alignment horizontal="left" vertical="center" wrapText="1" readingOrder="1"/>
    </xf>
    <xf numFmtId="0" fontId="9" fillId="44" borderId="28" xfId="78" applyFill="1" applyBorder="1" applyAlignment="1">
      <alignment vertical="top" wrapText="1" readingOrder="1"/>
    </xf>
    <xf numFmtId="0" fontId="9" fillId="44" borderId="10" xfId="78" applyFill="1" applyBorder="1" applyAlignment="1">
      <alignment vertical="top" wrapText="1" readingOrder="1"/>
    </xf>
    <xf numFmtId="0" fontId="9" fillId="44" borderId="7" xfId="78" applyFill="1" applyBorder="1" applyAlignment="1">
      <alignment vertical="top" wrapText="1" readingOrder="1"/>
    </xf>
    <xf numFmtId="0" fontId="9" fillId="44" borderId="29" xfId="78" applyFill="1" applyBorder="1" applyAlignment="1">
      <alignment vertical="top" wrapText="1" readingOrder="1"/>
    </xf>
    <xf numFmtId="0" fontId="9" fillId="44" borderId="6" xfId="78" applyFill="1" applyBorder="1" applyAlignment="1">
      <alignment vertical="top" wrapText="1" readingOrder="1"/>
    </xf>
    <xf numFmtId="0" fontId="9" fillId="44" borderId="5" xfId="78" applyFill="1" applyBorder="1" applyAlignment="1">
      <alignment vertical="top" wrapText="1" readingOrder="1"/>
    </xf>
    <xf numFmtId="0" fontId="9" fillId="44" borderId="30" xfId="78" applyFill="1" applyBorder="1" applyAlignment="1">
      <alignment vertical="top" wrapText="1" readingOrder="1"/>
    </xf>
    <xf numFmtId="0" fontId="33" fillId="0" borderId="9" xfId="18" applyFont="1" applyBorder="1" applyAlignment="1">
      <alignment wrapText="1"/>
    </xf>
    <xf numFmtId="0" fontId="33" fillId="0" borderId="0" xfId="128" applyFont="1">
      <alignment readingOrder="1"/>
    </xf>
    <xf numFmtId="0" fontId="33" fillId="0" borderId="0" xfId="18" applyFont="1" applyAlignment="1">
      <alignment wrapText="1"/>
    </xf>
    <xf numFmtId="0" fontId="56" fillId="0" borderId="0" xfId="18" applyFont="1" applyAlignment="1">
      <alignment wrapText="1"/>
    </xf>
    <xf numFmtId="0" fontId="56" fillId="0" borderId="0" xfId="128" applyFont="1">
      <alignment readingOrder="1"/>
    </xf>
    <xf numFmtId="0" fontId="34" fillId="7" borderId="31" xfId="18" applyFont="1" applyFill="1" applyBorder="1" applyAlignment="1">
      <alignment horizontal="left" wrapText="1"/>
    </xf>
    <xf numFmtId="1" fontId="9" fillId="0" borderId="4" xfId="18" applyNumberFormat="1" applyFont="1" applyFill="1" applyBorder="1" applyAlignment="1">
      <alignment horizontal="center" vertical="top" wrapText="1"/>
    </xf>
    <xf numFmtId="171" fontId="9" fillId="0" borderId="9" xfId="18" applyNumberFormat="1" applyFont="1" applyFill="1" applyBorder="1" applyAlignment="1">
      <alignment vertical="top" wrapText="1"/>
    </xf>
    <xf numFmtId="171" fontId="9" fillId="0" borderId="4" xfId="18" applyNumberFormat="1" applyFont="1" applyFill="1" applyBorder="1" applyAlignment="1">
      <alignment horizontal="left" vertical="top" wrapText="1"/>
    </xf>
    <xf numFmtId="1" fontId="9" fillId="0" borderId="4" xfId="3" applyNumberFormat="1" applyFont="1" applyFill="1" applyBorder="1" applyAlignment="1">
      <alignment horizontal="center" vertical="top" wrapText="1"/>
    </xf>
    <xf numFmtId="172" fontId="9" fillId="0" borderId="4" xfId="3" applyNumberFormat="1" applyFont="1" applyFill="1" applyBorder="1" applyAlignment="1">
      <alignment horizontal="center" vertical="top" wrapText="1"/>
    </xf>
    <xf numFmtId="165" fontId="9" fillId="0" borderId="4" xfId="3" applyNumberFormat="1" applyFont="1" applyFill="1" applyBorder="1" applyAlignment="1">
      <alignment horizontal="center" vertical="top" wrapText="1"/>
    </xf>
    <xf numFmtId="0" fontId="9" fillId="0" borderId="0" xfId="19" applyFont="1" applyAlignment="1">
      <alignment wrapText="1"/>
    </xf>
    <xf numFmtId="0" fontId="19" fillId="7" borderId="11" xfId="15" applyFont="1" applyFill="1" applyBorder="1" applyAlignment="1">
      <alignment horizontal="left" wrapText="1"/>
    </xf>
    <xf numFmtId="0" fontId="19" fillId="7" borderId="12" xfId="15" applyFont="1" applyFill="1" applyBorder="1" applyAlignment="1">
      <alignment horizontal="left" wrapText="1"/>
    </xf>
    <xf numFmtId="0" fontId="57" fillId="46" borderId="0" xfId="0" applyFont="1" applyFill="1"/>
    <xf numFmtId="1" fontId="9" fillId="0" borderId="6" xfId="15" applyNumberFormat="1" applyFont="1" applyBorder="1" applyAlignment="1">
      <alignment wrapText="1"/>
    </xf>
    <xf numFmtId="1" fontId="9" fillId="45" borderId="6" xfId="15" applyNumberFormat="1" applyFont="1" applyFill="1" applyBorder="1" applyAlignment="1">
      <alignment wrapText="1"/>
    </xf>
    <xf numFmtId="0" fontId="9" fillId="0" borderId="6" xfId="15" applyFont="1" applyBorder="1" applyAlignment="1">
      <alignment wrapText="1"/>
    </xf>
    <xf numFmtId="49" fontId="9" fillId="0" borderId="0" xfId="0" applyNumberFormat="1" applyFont="1"/>
    <xf numFmtId="0" fontId="9" fillId="0" borderId="0" xfId="0" applyFont="1" applyAlignment="1">
      <alignment wrapText="1"/>
    </xf>
    <xf numFmtId="0" fontId="9" fillId="0" borderId="0" xfId="128" applyFont="1">
      <alignment readingOrder="1"/>
    </xf>
    <xf numFmtId="49" fontId="58" fillId="0" borderId="0" xfId="0" applyNumberFormat="1" applyFont="1"/>
    <xf numFmtId="0" fontId="58" fillId="0" borderId="0" xfId="0" applyFont="1"/>
    <xf numFmtId="0" fontId="59" fillId="48" borderId="4" xfId="0" applyFont="1" applyFill="1" applyBorder="1" applyAlignment="1">
      <alignment horizontal="center" wrapText="1" readingOrder="1"/>
    </xf>
    <xf numFmtId="0" fontId="59" fillId="48" borderId="8" xfId="0" applyFont="1" applyFill="1" applyBorder="1" applyAlignment="1">
      <alignment horizontal="left" wrapText="1" readingOrder="1"/>
    </xf>
    <xf numFmtId="0" fontId="59" fillId="49" borderId="1" xfId="0" applyFont="1" applyFill="1" applyBorder="1" applyAlignment="1">
      <alignment horizontal="center" wrapText="1" readingOrder="1"/>
    </xf>
    <xf numFmtId="0" fontId="59" fillId="49" borderId="4" xfId="0" applyFont="1" applyFill="1" applyBorder="1" applyAlignment="1">
      <alignment horizontal="center" wrapText="1" readingOrder="1"/>
    </xf>
    <xf numFmtId="0" fontId="59" fillId="49" borderId="8" xfId="0" applyFont="1" applyFill="1" applyBorder="1" applyAlignment="1">
      <alignment horizontal="left" readingOrder="1"/>
    </xf>
    <xf numFmtId="0" fontId="0" fillId="0" borderId="33" xfId="0" applyBorder="1">
      <alignment readingOrder="1"/>
    </xf>
    <xf numFmtId="0" fontId="0" fillId="0" borderId="34" xfId="0" applyBorder="1">
      <alignment readingOrder="1"/>
    </xf>
    <xf numFmtId="0" fontId="0" fillId="0" borderId="35" xfId="0" applyBorder="1">
      <alignment readingOrder="1"/>
    </xf>
    <xf numFmtId="0" fontId="0" fillId="0" borderId="36" xfId="0" applyBorder="1">
      <alignment readingOrder="1"/>
    </xf>
    <xf numFmtId="0" fontId="0" fillId="0" borderId="0" xfId="0" applyBorder="1">
      <alignment readingOrder="1"/>
    </xf>
    <xf numFmtId="0" fontId="0" fillId="0" borderId="37" xfId="0" applyBorder="1">
      <alignment readingOrder="1"/>
    </xf>
    <xf numFmtId="0" fontId="0" fillId="0" borderId="38" xfId="0" applyBorder="1">
      <alignment readingOrder="1"/>
    </xf>
    <xf numFmtId="0" fontId="0" fillId="0" borderId="32" xfId="0" applyBorder="1">
      <alignment readingOrder="1"/>
    </xf>
    <xf numFmtId="0" fontId="0" fillId="0" borderId="39" xfId="0" applyBorder="1">
      <alignment readingOrder="1"/>
    </xf>
    <xf numFmtId="0" fontId="16" fillId="50" borderId="13" xfId="0" applyFont="1" applyFill="1" applyBorder="1" applyAlignment="1">
      <alignment horizontal="centerContinuous" wrapText="1" readingOrder="1"/>
    </xf>
    <xf numFmtId="0" fontId="16" fillId="50" borderId="14" xfId="0" applyFont="1" applyFill="1" applyBorder="1" applyAlignment="1">
      <alignment horizontal="centerContinuous" wrapText="1" readingOrder="1"/>
    </xf>
    <xf numFmtId="0" fontId="16" fillId="3" borderId="4" xfId="0" applyFont="1" applyFill="1" applyBorder="1" applyAlignment="1">
      <alignment horizontal="center" wrapText="1" readingOrder="1"/>
    </xf>
    <xf numFmtId="0" fontId="16" fillId="3" borderId="9" xfId="0" applyFont="1" applyFill="1" applyBorder="1" applyAlignment="1">
      <alignment horizontal="center" wrapText="1" readingOrder="1"/>
    </xf>
    <xf numFmtId="164" fontId="0" fillId="0" borderId="0" xfId="0" applyNumberFormat="1">
      <alignment readingOrder="1"/>
    </xf>
    <xf numFmtId="164" fontId="16" fillId="50" borderId="13" xfId="0" applyNumberFormat="1" applyFont="1" applyFill="1" applyBorder="1" applyAlignment="1">
      <alignment horizontal="centerContinuous" wrapText="1" readingOrder="1"/>
    </xf>
    <xf numFmtId="164" fontId="16" fillId="50" borderId="15" xfId="0" applyNumberFormat="1" applyFont="1" applyFill="1" applyBorder="1" applyAlignment="1">
      <alignment horizontal="centerContinuous" wrapText="1" readingOrder="1"/>
    </xf>
    <xf numFmtId="164" fontId="16" fillId="50" borderId="14" xfId="0" applyNumberFormat="1" applyFont="1" applyFill="1" applyBorder="1" applyAlignment="1">
      <alignment horizontal="centerContinuous" wrapText="1" readingOrder="1"/>
    </xf>
    <xf numFmtId="164" fontId="16" fillId="50" borderId="1" xfId="0" applyNumberFormat="1" applyFont="1" applyFill="1" applyBorder="1" applyAlignment="1">
      <alignment horizontal="center" wrapText="1" readingOrder="1"/>
    </xf>
    <xf numFmtId="164" fontId="16" fillId="3" borderId="4" xfId="0" applyNumberFormat="1" applyFont="1" applyFill="1" applyBorder="1" applyAlignment="1">
      <alignment horizontal="center" wrapText="1" readingOrder="1"/>
    </xf>
    <xf numFmtId="173" fontId="16" fillId="3" borderId="4" xfId="0" applyNumberFormat="1" applyFont="1" applyFill="1" applyBorder="1" applyAlignment="1">
      <alignment horizontal="center" wrapText="1" readingOrder="1"/>
    </xf>
    <xf numFmtId="164" fontId="15" fillId="0" borderId="0" xfId="0" applyNumberFormat="1" applyFont="1">
      <alignment readingOrder="1"/>
    </xf>
    <xf numFmtId="164" fontId="60" fillId="0" borderId="0" xfId="0" applyNumberFormat="1" applyFont="1">
      <alignment readingOrder="1"/>
    </xf>
    <xf numFmtId="164" fontId="16" fillId="2" borderId="1" xfId="0" applyNumberFormat="1" applyFont="1" applyFill="1" applyBorder="1" applyAlignment="1">
      <alignment horizontal="center" wrapText="1" readingOrder="1"/>
    </xf>
    <xf numFmtId="164" fontId="16" fillId="2" borderId="4" xfId="0" applyNumberFormat="1" applyFont="1" applyFill="1" applyBorder="1" applyAlignment="1">
      <alignment horizontal="center" wrapText="1" readingOrder="1"/>
    </xf>
    <xf numFmtId="0" fontId="16" fillId="2" borderId="13" xfId="0" applyFont="1" applyFill="1" applyBorder="1" applyAlignment="1">
      <alignment horizontal="centerContinuous" wrapText="1" readingOrder="1"/>
    </xf>
    <xf numFmtId="0" fontId="16" fillId="2" borderId="15" xfId="0" applyFont="1" applyFill="1" applyBorder="1" applyAlignment="1">
      <alignment horizontal="centerContinuous" wrapText="1" readingOrder="1"/>
    </xf>
    <xf numFmtId="164" fontId="16" fillId="2" borderId="15" xfId="0" applyNumberFormat="1" applyFont="1" applyFill="1" applyBorder="1" applyAlignment="1">
      <alignment horizontal="centerContinuous" wrapText="1" readingOrder="1"/>
    </xf>
    <xf numFmtId="164" fontId="16" fillId="2" borderId="14" xfId="0" applyNumberFormat="1" applyFont="1" applyFill="1" applyBorder="1" applyAlignment="1">
      <alignment horizontal="centerContinuous" wrapText="1" readingOrder="1"/>
    </xf>
    <xf numFmtId="164" fontId="16" fillId="2" borderId="13" xfId="0" applyNumberFormat="1" applyFont="1" applyFill="1" applyBorder="1" applyAlignment="1">
      <alignment horizontal="centerContinuous" wrapText="1" readingOrder="1"/>
    </xf>
    <xf numFmtId="1" fontId="0" fillId="0" borderId="0" xfId="0" applyNumberFormat="1">
      <alignment readingOrder="1"/>
    </xf>
    <xf numFmtId="164" fontId="19" fillId="0" borderId="0" xfId="0" applyNumberFormat="1" applyFont="1">
      <alignment readingOrder="1"/>
    </xf>
    <xf numFmtId="174" fontId="0" fillId="0" borderId="0" xfId="0" applyNumberFormat="1">
      <alignment readingOrder="1"/>
    </xf>
    <xf numFmtId="174" fontId="19" fillId="0" borderId="0" xfId="0" applyNumberFormat="1" applyFont="1">
      <alignment readingOrder="1"/>
    </xf>
    <xf numFmtId="174" fontId="60" fillId="0" borderId="0" xfId="0" applyNumberFormat="1" applyFont="1">
      <alignment readingOrder="1"/>
    </xf>
    <xf numFmtId="0" fontId="16" fillId="2" borderId="9" xfId="0" applyFont="1" applyFill="1" applyBorder="1" applyAlignment="1">
      <alignment horizontal="center" wrapText="1" readingOrder="1"/>
    </xf>
    <xf numFmtId="0" fontId="16" fillId="2" borderId="4" xfId="0" applyFont="1" applyFill="1" applyBorder="1" applyAlignment="1">
      <alignment horizontal="center" wrapText="1" readingOrder="1"/>
    </xf>
    <xf numFmtId="164" fontId="16" fillId="2" borderId="11" xfId="0" applyNumberFormat="1" applyFont="1" applyFill="1" applyBorder="1" applyAlignment="1">
      <alignment horizontal="centerContinuous" wrapText="1" readingOrder="1"/>
    </xf>
    <xf numFmtId="164" fontId="16" fillId="2" borderId="40" xfId="0" applyNumberFormat="1" applyFont="1" applyFill="1" applyBorder="1" applyAlignment="1">
      <alignment horizontal="centerContinuous" wrapText="1" readingOrder="1"/>
    </xf>
    <xf numFmtId="0" fontId="16" fillId="6" borderId="7" xfId="16" applyFont="1" applyFill="1" applyBorder="1" applyAlignment="1">
      <alignment horizontal="center" wrapText="1"/>
    </xf>
    <xf numFmtId="0" fontId="16" fillId="6" borderId="28" xfId="16" applyFont="1" applyFill="1" applyBorder="1" applyAlignment="1">
      <alignment horizontal="center" wrapText="1"/>
    </xf>
    <xf numFmtId="9" fontId="0" fillId="0" borderId="0" xfId="20" applyFont="1">
      <alignment readingOrder="1"/>
    </xf>
    <xf numFmtId="44" fontId="0" fillId="0" borderId="0" xfId="3" applyFont="1">
      <alignment readingOrder="1"/>
    </xf>
    <xf numFmtId="175" fontId="0" fillId="0" borderId="0" xfId="108" applyNumberFormat="1" applyFont="1">
      <alignment readingOrder="1"/>
    </xf>
    <xf numFmtId="0" fontId="9" fillId="0" borderId="0" xfId="78"/>
    <xf numFmtId="0" fontId="19" fillId="44" borderId="0" xfId="78" applyFont="1" applyFill="1">
      <alignment readingOrder="1"/>
    </xf>
    <xf numFmtId="0" fontId="9" fillId="44" borderId="0" xfId="78" applyFill="1">
      <alignment readingOrder="1"/>
    </xf>
    <xf numFmtId="0" fontId="9" fillId="0" borderId="0" xfId="78">
      <alignment readingOrder="1"/>
    </xf>
    <xf numFmtId="0" fontId="19" fillId="47" borderId="0" xfId="78" applyFont="1" applyFill="1">
      <alignment readingOrder="1"/>
    </xf>
    <xf numFmtId="0" fontId="19" fillId="52" borderId="0" xfId="78" applyFont="1" applyFill="1">
      <alignment readingOrder="1"/>
    </xf>
    <xf numFmtId="0" fontId="19" fillId="53" borderId="0" xfId="78" applyFont="1" applyFill="1">
      <alignment readingOrder="1"/>
    </xf>
    <xf numFmtId="0" fontId="19" fillId="54" borderId="0" xfId="78" applyFont="1" applyFill="1">
      <alignment readingOrder="1"/>
    </xf>
    <xf numFmtId="0" fontId="9" fillId="54" borderId="0" xfId="78" applyFill="1">
      <alignment readingOrder="1"/>
    </xf>
    <xf numFmtId="0" fontId="61" fillId="0" borderId="0" xfId="78" applyFont="1">
      <alignment readingOrder="1"/>
    </xf>
    <xf numFmtId="0" fontId="19" fillId="0" borderId="0" xfId="78" applyFont="1" applyAlignment="1">
      <alignment wrapText="1" readingOrder="1"/>
    </xf>
    <xf numFmtId="0" fontId="9" fillId="0" borderId="0" xfId="78" applyFont="1" applyAlignment="1">
      <alignment wrapText="1" readingOrder="1"/>
    </xf>
    <xf numFmtId="0" fontId="16" fillId="6" borderId="6" xfId="78" applyFont="1" applyFill="1" applyBorder="1" applyAlignment="1">
      <alignment horizontal="center" wrapText="1"/>
    </xf>
    <xf numFmtId="0" fontId="9" fillId="0" borderId="0" xfId="78" applyFont="1">
      <alignment readingOrder="1"/>
    </xf>
    <xf numFmtId="164" fontId="9" fillId="0" borderId="0" xfId="78" applyNumberFormat="1">
      <alignment readingOrder="1"/>
    </xf>
    <xf numFmtId="166" fontId="0" fillId="0" borderId="0" xfId="3" applyNumberFormat="1" applyFont="1">
      <alignment readingOrder="1"/>
    </xf>
    <xf numFmtId="1" fontId="9" fillId="0" borderId="0" xfId="78" applyNumberFormat="1">
      <alignment readingOrder="1"/>
    </xf>
    <xf numFmtId="166" fontId="9" fillId="0" borderId="0" xfId="78" applyNumberFormat="1" applyFill="1">
      <alignment readingOrder="1"/>
    </xf>
    <xf numFmtId="8" fontId="9" fillId="0" borderId="0" xfId="78" applyNumberFormat="1">
      <alignment readingOrder="1"/>
    </xf>
    <xf numFmtId="2" fontId="9" fillId="0" borderId="0" xfId="78" applyNumberFormat="1">
      <alignment readingOrder="1"/>
    </xf>
    <xf numFmtId="0" fontId="61" fillId="0" borderId="0" xfId="78" applyFont="1"/>
    <xf numFmtId="1" fontId="9" fillId="51" borderId="0" xfId="78" applyNumberFormat="1" applyFill="1">
      <alignment readingOrder="1"/>
    </xf>
    <xf numFmtId="166" fontId="9" fillId="51" borderId="0" xfId="78" applyNumberFormat="1" applyFill="1">
      <alignment readingOrder="1"/>
    </xf>
    <xf numFmtId="164" fontId="9" fillId="51" borderId="0" xfId="78" applyNumberFormat="1" applyFill="1">
      <alignment readingOrder="1"/>
    </xf>
    <xf numFmtId="168" fontId="9" fillId="0" borderId="0" xfId="78" applyNumberFormat="1">
      <alignment readingOrder="1"/>
    </xf>
    <xf numFmtId="166" fontId="9" fillId="0" borderId="0" xfId="78" applyNumberFormat="1">
      <alignment readingOrder="1"/>
    </xf>
    <xf numFmtId="0" fontId="19" fillId="0" borderId="0" xfId="78" applyFont="1">
      <alignment readingOrder="1"/>
    </xf>
    <xf numFmtId="0" fontId="9" fillId="0" borderId="0" xfId="78" applyFill="1">
      <alignment readingOrder="1"/>
    </xf>
    <xf numFmtId="49" fontId="9" fillId="0" borderId="0" xfId="78" applyNumberFormat="1">
      <alignment readingOrder="1"/>
    </xf>
    <xf numFmtId="0" fontId="9" fillId="0" borderId="0" xfId="78" applyFill="1" applyAlignment="1">
      <alignment vertical="center" wrapText="1" readingOrder="1"/>
    </xf>
    <xf numFmtId="0" fontId="9" fillId="86" borderId="0" xfId="78" applyFill="1">
      <alignment readingOrder="1"/>
    </xf>
    <xf numFmtId="0" fontId="9" fillId="0" borderId="0" xfId="78" quotePrefix="1" applyFill="1">
      <alignment readingOrder="1"/>
    </xf>
    <xf numFmtId="0" fontId="31" fillId="52" borderId="9" xfId="78" applyFont="1" applyFill="1" applyBorder="1"/>
    <xf numFmtId="0" fontId="31" fillId="45" borderId="2" xfId="78" applyFont="1" applyFill="1" applyBorder="1"/>
    <xf numFmtId="0" fontId="31" fillId="45" borderId="27" xfId="78" applyFont="1" applyFill="1" applyBorder="1"/>
    <xf numFmtId="0" fontId="31" fillId="45" borderId="10" xfId="78" applyFont="1" applyFill="1" applyBorder="1"/>
    <xf numFmtId="0" fontId="31" fillId="45" borderId="5" xfId="78" applyFont="1" applyFill="1" applyBorder="1"/>
    <xf numFmtId="0" fontId="31" fillId="45" borderId="41" xfId="78" applyFont="1" applyFill="1" applyBorder="1"/>
    <xf numFmtId="0" fontId="31" fillId="45" borderId="30" xfId="78" applyFont="1" applyFill="1" applyBorder="1"/>
    <xf numFmtId="0" fontId="31" fillId="45" borderId="9" xfId="78" applyFont="1" applyFill="1" applyBorder="1"/>
    <xf numFmtId="9" fontId="19" fillId="7" borderId="0" xfId="78" applyNumberFormat="1" applyFont="1" applyFill="1">
      <alignment readingOrder="1"/>
    </xf>
    <xf numFmtId="0" fontId="9" fillId="7" borderId="0" xfId="78" applyFill="1">
      <alignment readingOrder="1"/>
    </xf>
    <xf numFmtId="1" fontId="9" fillId="7" borderId="0" xfId="78" applyNumberFormat="1" applyFill="1">
      <alignment readingOrder="1"/>
    </xf>
    <xf numFmtId="0" fontId="31" fillId="52" borderId="3" xfId="78" applyFont="1" applyFill="1" applyBorder="1"/>
    <xf numFmtId="0" fontId="31" fillId="45" borderId="8" xfId="78" applyFont="1" applyFill="1" applyBorder="1"/>
    <xf numFmtId="0" fontId="31" fillId="45" borderId="1" xfId="78" applyFont="1" applyFill="1" applyBorder="1"/>
    <xf numFmtId="0" fontId="31" fillId="45" borderId="4" xfId="78" applyFont="1" applyFill="1" applyBorder="1"/>
    <xf numFmtId="9" fontId="9" fillId="14" borderId="0" xfId="20" applyFill="1" applyAlignment="1">
      <alignment horizontal="center" readingOrder="1"/>
    </xf>
    <xf numFmtId="175" fontId="9" fillId="14" borderId="0" xfId="108" applyNumberFormat="1" applyFill="1" applyAlignment="1">
      <alignment horizontal="center" readingOrder="1"/>
    </xf>
    <xf numFmtId="9" fontId="31" fillId="45" borderId="9" xfId="20" applyFont="1" applyFill="1" applyBorder="1"/>
    <xf numFmtId="9" fontId="31" fillId="45" borderId="8" xfId="20" applyFont="1" applyFill="1" applyBorder="1"/>
    <xf numFmtId="9" fontId="9" fillId="0" borderId="12" xfId="78" applyNumberFormat="1" applyBorder="1">
      <alignment readingOrder="1"/>
    </xf>
    <xf numFmtId="0" fontId="31" fillId="45" borderId="3" xfId="78" applyFont="1" applyFill="1" applyBorder="1"/>
    <xf numFmtId="164" fontId="9" fillId="13" borderId="0" xfId="78" applyNumberFormat="1" applyFill="1" applyAlignment="1">
      <alignment horizontal="center" readingOrder="1"/>
    </xf>
    <xf numFmtId="1" fontId="9" fillId="13" borderId="0" xfId="78" applyNumberFormat="1" applyFill="1" applyAlignment="1">
      <alignment horizontal="center" readingOrder="1"/>
    </xf>
    <xf numFmtId="164" fontId="9" fillId="0" borderId="0" xfId="78" applyNumberFormat="1" applyAlignment="1">
      <alignment horizontal="center" readingOrder="1"/>
    </xf>
    <xf numFmtId="164" fontId="9" fillId="87" borderId="0" xfId="78" applyNumberFormat="1" applyFill="1" applyAlignment="1">
      <alignment horizontal="center" readingOrder="1"/>
    </xf>
    <xf numFmtId="0" fontId="9" fillId="0" borderId="0" xfId="78" applyAlignment="1">
      <alignment horizontal="center" readingOrder="1"/>
    </xf>
    <xf numFmtId="0" fontId="9" fillId="0" borderId="0" xfId="78" applyFill="1" applyAlignment="1">
      <alignment horizontal="center" readingOrder="1"/>
    </xf>
    <xf numFmtId="0" fontId="31" fillId="14" borderId="9" xfId="78" applyFont="1" applyFill="1" applyBorder="1"/>
    <xf numFmtId="164" fontId="31" fillId="14" borderId="9" xfId="78" applyNumberFormat="1" applyFont="1" applyFill="1" applyBorder="1"/>
    <xf numFmtId="1" fontId="9" fillId="0" borderId="0" xfId="78" applyNumberFormat="1" applyFill="1">
      <alignment readingOrder="1"/>
    </xf>
    <xf numFmtId="177" fontId="9" fillId="0" borderId="0" xfId="78" applyNumberFormat="1">
      <alignment readingOrder="1"/>
    </xf>
    <xf numFmtId="178" fontId="9" fillId="0" borderId="0" xfId="78" applyNumberFormat="1" applyFill="1">
      <alignment readingOrder="1"/>
    </xf>
    <xf numFmtId="177" fontId="9" fillId="0" borderId="0" xfId="78" applyNumberFormat="1" applyFill="1">
      <alignment readingOrder="1"/>
    </xf>
    <xf numFmtId="179" fontId="9" fillId="0" borderId="0" xfId="78" applyNumberFormat="1">
      <alignment readingOrder="1"/>
    </xf>
    <xf numFmtId="0" fontId="9" fillId="52" borderId="0" xfId="1412" applyFont="1" applyFill="1" applyBorder="1" applyAlignment="1">
      <alignment wrapText="1"/>
    </xf>
    <xf numFmtId="9" fontId="0" fillId="0" borderId="0" xfId="20" applyFont="1"/>
    <xf numFmtId="9" fontId="9" fillId="0" borderId="0" xfId="78" applyNumberFormat="1"/>
    <xf numFmtId="179" fontId="0" fillId="0" borderId="0" xfId="0" applyNumberFormat="1">
      <alignment readingOrder="1"/>
    </xf>
    <xf numFmtId="0" fontId="78" fillId="88" borderId="45" xfId="0" applyFont="1" applyFill="1" applyBorder="1"/>
    <xf numFmtId="0" fontId="78" fillId="88" borderId="46" xfId="0" applyFont="1" applyFill="1" applyBorder="1"/>
    <xf numFmtId="0" fontId="78" fillId="88" borderId="47" xfId="0" applyFont="1" applyFill="1" applyBorder="1"/>
    <xf numFmtId="0" fontId="79" fillId="89" borderId="45" xfId="0" applyFont="1" applyFill="1" applyBorder="1"/>
    <xf numFmtId="0" fontId="79" fillId="89" borderId="46" xfId="0" applyFont="1" applyFill="1" applyBorder="1"/>
    <xf numFmtId="3" fontId="79" fillId="89" borderId="46" xfId="0" applyNumberFormat="1" applyFont="1" applyFill="1" applyBorder="1"/>
    <xf numFmtId="179" fontId="79" fillId="89" borderId="47" xfId="0" applyNumberFormat="1" applyFont="1" applyFill="1" applyBorder="1"/>
    <xf numFmtId="0" fontId="79" fillId="0" borderId="48" xfId="0" applyFont="1" applyBorder="1"/>
    <xf numFmtId="0" fontId="79" fillId="0" borderId="49" xfId="0" applyFont="1" applyBorder="1"/>
    <xf numFmtId="3" fontId="79" fillId="0" borderId="49" xfId="0" applyNumberFormat="1" applyFont="1" applyBorder="1"/>
    <xf numFmtId="179" fontId="79" fillId="0" borderId="50" xfId="0" applyNumberFormat="1" applyFont="1" applyBorder="1"/>
    <xf numFmtId="0" fontId="79" fillId="89" borderId="48" xfId="0" applyFont="1" applyFill="1" applyBorder="1"/>
    <xf numFmtId="0" fontId="79" fillId="89" borderId="49" xfId="0" applyFont="1" applyFill="1" applyBorder="1"/>
    <xf numFmtId="3" fontId="79" fillId="89" borderId="49" xfId="0" applyNumberFormat="1" applyFont="1" applyFill="1" applyBorder="1"/>
    <xf numFmtId="179" fontId="79" fillId="89" borderId="50" xfId="0" applyNumberFormat="1" applyFont="1" applyFill="1" applyBorder="1"/>
    <xf numFmtId="0" fontId="9" fillId="0" borderId="0" xfId="938">
      <alignment readingOrder="1"/>
    </xf>
    <xf numFmtId="0" fontId="81" fillId="85" borderId="13" xfId="78" applyFont="1" applyFill="1" applyBorder="1"/>
    <xf numFmtId="0" fontId="81" fillId="85" borderId="15" xfId="78" applyFont="1" applyFill="1" applyBorder="1"/>
    <xf numFmtId="0" fontId="81" fillId="85" borderId="14" xfId="78" applyFont="1" applyFill="1" applyBorder="1"/>
    <xf numFmtId="0" fontId="3" fillId="0" borderId="0" xfId="78" applyFont="1"/>
    <xf numFmtId="0" fontId="34" fillId="45" borderId="6" xfId="1414" applyFont="1" applyFill="1" applyBorder="1" applyAlignment="1">
      <alignment horizontal="left" vertical="center" wrapText="1"/>
    </xf>
    <xf numFmtId="0" fontId="19" fillId="45" borderId="9" xfId="1414" applyFont="1" applyFill="1" applyBorder="1" applyAlignment="1">
      <alignment horizontal="left" vertical="center" wrapText="1"/>
    </xf>
    <xf numFmtId="0" fontId="9" fillId="0" borderId="9" xfId="1414" applyFont="1" applyFill="1" applyBorder="1" applyAlignment="1">
      <alignment horizontal="left" vertical="center" wrapText="1"/>
    </xf>
    <xf numFmtId="0" fontId="9" fillId="0" borderId="9" xfId="1414" applyFont="1" applyBorder="1" applyAlignment="1">
      <alignment horizontal="left" vertical="center" wrapText="1" readingOrder="1"/>
    </xf>
    <xf numFmtId="0" fontId="9" fillId="0" borderId="9" xfId="1414" applyNumberFormat="1" applyFont="1" applyBorder="1" applyAlignment="1">
      <alignment horizontal="left" vertical="center" wrapText="1" readingOrder="1"/>
    </xf>
    <xf numFmtId="0" fontId="0" fillId="0" borderId="9" xfId="1414" applyFont="1" applyBorder="1" applyAlignment="1">
      <alignment horizontal="left" vertical="center" wrapText="1" readingOrder="1"/>
    </xf>
    <xf numFmtId="0" fontId="34" fillId="45" borderId="9" xfId="1414" applyFont="1" applyFill="1" applyBorder="1" applyAlignment="1">
      <alignment horizontal="left" vertical="center" wrapText="1"/>
    </xf>
    <xf numFmtId="0" fontId="33" fillId="0" borderId="9" xfId="1414" applyFont="1" applyBorder="1" applyAlignment="1">
      <alignment horizontal="left" vertical="center" wrapText="1" readingOrder="1"/>
    </xf>
    <xf numFmtId="0" fontId="33" fillId="0" borderId="9" xfId="1414" applyFont="1" applyBorder="1" applyAlignment="1">
      <alignment vertical="center" wrapText="1" readingOrder="1"/>
    </xf>
    <xf numFmtId="164" fontId="16" fillId="2" borderId="11" xfId="78" applyNumberFormat="1" applyFont="1" applyFill="1" applyBorder="1" applyAlignment="1">
      <alignment horizontal="centerContinuous" wrapText="1" readingOrder="1"/>
    </xf>
    <xf numFmtId="164" fontId="16" fillId="2" borderId="40" xfId="78" applyNumberFormat="1" applyFont="1" applyFill="1" applyBorder="1" applyAlignment="1">
      <alignment horizontal="centerContinuous" wrapText="1" readingOrder="1"/>
    </xf>
    <xf numFmtId="164" fontId="16" fillId="2" borderId="14" xfId="78" applyNumberFormat="1" applyFont="1" applyFill="1" applyBorder="1" applyAlignment="1">
      <alignment horizontal="centerContinuous" wrapText="1" readingOrder="1"/>
    </xf>
    <xf numFmtId="164" fontId="16" fillId="2" borderId="4" xfId="78" applyNumberFormat="1" applyFont="1" applyFill="1" applyBorder="1" applyAlignment="1">
      <alignment horizontal="center" wrapText="1" readingOrder="1"/>
    </xf>
    <xf numFmtId="164" fontId="16" fillId="3" borderId="4" xfId="78" applyNumberFormat="1" applyFont="1" applyFill="1" applyBorder="1" applyAlignment="1">
      <alignment horizontal="center" wrapText="1" readingOrder="1"/>
    </xf>
    <xf numFmtId="2" fontId="9" fillId="13" borderId="0" xfId="78" applyNumberFormat="1" applyFill="1" applyAlignment="1">
      <alignment horizontal="center" readingOrder="1"/>
    </xf>
    <xf numFmtId="43" fontId="0" fillId="13" borderId="0" xfId="108" applyFont="1" applyFill="1" applyAlignment="1">
      <alignment horizontal="center" readingOrder="1"/>
    </xf>
    <xf numFmtId="164" fontId="9" fillId="0" borderId="0" xfId="78" applyNumberFormat="1"/>
    <xf numFmtId="0" fontId="9" fillId="0" borderId="9" xfId="1414" applyFont="1" applyFill="1" applyBorder="1" applyAlignment="1">
      <alignment horizontal="left" vertical="center" wrapText="1" readingOrder="1"/>
    </xf>
    <xf numFmtId="0" fontId="0" fillId="45" borderId="0" xfId="0" applyFill="1">
      <alignment readingOrder="1"/>
    </xf>
    <xf numFmtId="0" fontId="0" fillId="45" borderId="0" xfId="0" applyFill="1" applyAlignment="1">
      <alignment vertical="center" wrapText="1" readingOrder="1"/>
    </xf>
    <xf numFmtId="43" fontId="9" fillId="0" borderId="0" xfId="1413" applyFont="1"/>
    <xf numFmtId="1" fontId="9" fillId="0" borderId="0" xfId="78" applyNumberFormat="1"/>
    <xf numFmtId="164" fontId="9" fillId="86" borderId="0" xfId="78" applyNumberFormat="1" applyFill="1">
      <alignment readingOrder="1"/>
    </xf>
    <xf numFmtId="0" fontId="0" fillId="86" borderId="0" xfId="0" applyFill="1">
      <alignment readingOrder="1"/>
    </xf>
    <xf numFmtId="0" fontId="9" fillId="0" borderId="3" xfId="78" applyBorder="1" applyAlignment="1">
      <alignment horizontal="center" vertical="center" wrapText="1" readingOrder="1"/>
    </xf>
    <xf numFmtId="0" fontId="9" fillId="0" borderId="7" xfId="78" applyBorder="1" applyAlignment="1">
      <alignment horizontal="center" vertical="center" wrapText="1" readingOrder="1"/>
    </xf>
    <xf numFmtId="0" fontId="9" fillId="0" borderId="6" xfId="78" applyBorder="1" applyAlignment="1">
      <alignment horizontal="center" vertical="center" wrapText="1" readingOrder="1"/>
    </xf>
    <xf numFmtId="0" fontId="9" fillId="0" borderId="3" xfId="78" applyBorder="1" applyAlignment="1">
      <alignment horizontal="left" vertical="center" wrapText="1" readingOrder="1"/>
    </xf>
    <xf numFmtId="0" fontId="9" fillId="0" borderId="7" xfId="78" applyBorder="1" applyAlignment="1">
      <alignment horizontal="left" vertical="center" wrapText="1" readingOrder="1"/>
    </xf>
    <xf numFmtId="0" fontId="9" fillId="0" borderId="6" xfId="78" applyBorder="1" applyAlignment="1">
      <alignment horizontal="left" vertical="center" wrapText="1" readingOrder="1"/>
    </xf>
    <xf numFmtId="0" fontId="9" fillId="0" borderId="10" xfId="78" applyBorder="1" applyAlignment="1">
      <alignment horizontal="center" vertical="center" wrapText="1" readingOrder="1"/>
    </xf>
    <xf numFmtId="0" fontId="9" fillId="0" borderId="29" xfId="78" applyBorder="1" applyAlignment="1">
      <alignment horizontal="center" vertical="center" wrapText="1" readingOrder="1"/>
    </xf>
    <xf numFmtId="0" fontId="9" fillId="0" borderId="30" xfId="78" applyBorder="1" applyAlignment="1">
      <alignment horizontal="center" vertical="center" wrapText="1" readingOrder="1"/>
    </xf>
    <xf numFmtId="0" fontId="9" fillId="0" borderId="9" xfId="78" applyFont="1" applyBorder="1" applyAlignment="1">
      <alignment horizontal="center" vertical="center" wrapText="1" readingOrder="1"/>
    </xf>
    <xf numFmtId="0" fontId="9" fillId="0" borderId="3" xfId="78" applyFont="1" applyBorder="1" applyAlignment="1">
      <alignment horizontal="center" vertical="top" wrapText="1" readingOrder="1"/>
    </xf>
    <xf numFmtId="0" fontId="9" fillId="0" borderId="7" xfId="78" applyFont="1" applyBorder="1" applyAlignment="1">
      <alignment horizontal="center" vertical="top" wrapText="1" readingOrder="1"/>
    </xf>
    <xf numFmtId="0" fontId="9" fillId="0" borderId="6" xfId="78" applyFont="1" applyBorder="1" applyAlignment="1">
      <alignment horizontal="center" vertical="top" wrapText="1" readingOrder="1"/>
    </xf>
    <xf numFmtId="9" fontId="9" fillId="0" borderId="3" xfId="78" applyNumberFormat="1" applyBorder="1" applyAlignment="1">
      <alignment horizontal="center" vertical="center" wrapText="1" readingOrder="1"/>
    </xf>
    <xf numFmtId="9" fontId="9" fillId="0" borderId="7" xfId="78" applyNumberFormat="1" applyBorder="1" applyAlignment="1">
      <alignment horizontal="center" vertical="center" wrapText="1" readingOrder="1"/>
    </xf>
    <xf numFmtId="9" fontId="9" fillId="0" borderId="6" xfId="78" applyNumberFormat="1" applyBorder="1" applyAlignment="1">
      <alignment horizontal="center" vertical="center" wrapText="1" readingOrder="1"/>
    </xf>
    <xf numFmtId="0" fontId="9" fillId="0" borderId="2" xfId="78" applyBorder="1" applyAlignment="1">
      <alignment horizontal="center" vertical="center" wrapText="1" readingOrder="1"/>
    </xf>
    <xf numFmtId="0" fontId="9" fillId="0" borderId="28" xfId="78" applyBorder="1" applyAlignment="1">
      <alignment horizontal="center" vertical="center" wrapText="1" readingOrder="1"/>
    </xf>
    <xf numFmtId="0" fontId="9" fillId="0" borderId="5" xfId="78" applyBorder="1" applyAlignment="1">
      <alignment horizontal="center" vertical="center" wrapText="1" readingOrder="1"/>
    </xf>
    <xf numFmtId="0" fontId="9" fillId="0" borderId="3" xfId="79" applyFont="1" applyFill="1" applyBorder="1" applyAlignment="1">
      <alignment horizontal="left" vertical="center" wrapText="1"/>
    </xf>
    <xf numFmtId="0" fontId="9" fillId="0" borderId="7" xfId="79" applyFont="1" applyFill="1" applyBorder="1" applyAlignment="1">
      <alignment horizontal="left" vertical="center" wrapText="1"/>
    </xf>
    <xf numFmtId="0" fontId="9" fillId="0" borderId="6" xfId="79" applyFont="1" applyFill="1" applyBorder="1" applyAlignment="1">
      <alignment horizontal="left" vertical="center" wrapText="1"/>
    </xf>
    <xf numFmtId="0" fontId="9" fillId="0" borderId="2" xfId="78" applyFill="1" applyBorder="1" applyAlignment="1">
      <alignment horizontal="center" vertical="center" wrapText="1" readingOrder="1"/>
    </xf>
    <xf numFmtId="0" fontId="9" fillId="0" borderId="28" xfId="78" applyFill="1" applyBorder="1" applyAlignment="1">
      <alignment horizontal="center" vertical="center" wrapText="1" readingOrder="1"/>
    </xf>
    <xf numFmtId="0" fontId="9" fillId="0" borderId="5" xfId="78" applyFill="1" applyBorder="1" applyAlignment="1">
      <alignment horizontal="center" vertical="center" wrapText="1" readingOrder="1"/>
    </xf>
    <xf numFmtId="0" fontId="9" fillId="0" borderId="3" xfId="78" applyFont="1" applyFill="1" applyBorder="1" applyAlignment="1">
      <alignment horizontal="center" vertical="center" wrapText="1" readingOrder="1"/>
    </xf>
    <xf numFmtId="0" fontId="9" fillId="0" borderId="7" xfId="78" applyFont="1" applyFill="1" applyBorder="1" applyAlignment="1">
      <alignment horizontal="center" vertical="center" wrapText="1" readingOrder="1"/>
    </xf>
    <xf numFmtId="0" fontId="9" fillId="0" borderId="6" xfId="78" applyFont="1" applyFill="1" applyBorder="1" applyAlignment="1">
      <alignment horizontal="center" vertical="center" wrapText="1" readingOrder="1"/>
    </xf>
    <xf numFmtId="0" fontId="9" fillId="0" borderId="3" xfId="78" applyFill="1" applyBorder="1" applyAlignment="1">
      <alignment horizontal="center" vertical="center" wrapText="1" readingOrder="1"/>
    </xf>
    <xf numFmtId="0" fontId="9" fillId="0" borderId="7" xfId="78" applyFill="1" applyBorder="1" applyAlignment="1">
      <alignment horizontal="center" vertical="center" wrapText="1" readingOrder="1"/>
    </xf>
    <xf numFmtId="0" fontId="9" fillId="0" borderId="6" xfId="78" applyFill="1" applyBorder="1" applyAlignment="1">
      <alignment horizontal="center" vertical="center" wrapText="1" readingOrder="1"/>
    </xf>
    <xf numFmtId="0" fontId="9" fillId="0" borderId="3" xfId="78" applyBorder="1" applyAlignment="1">
      <alignment horizontal="center" vertical="center" readingOrder="1"/>
    </xf>
    <xf numFmtId="0" fontId="9" fillId="0" borderId="7" xfId="78" applyBorder="1" applyAlignment="1">
      <alignment horizontal="center" vertical="center" readingOrder="1"/>
    </xf>
    <xf numFmtId="0" fontId="9" fillId="0" borderId="6" xfId="78" applyBorder="1" applyAlignment="1">
      <alignment horizontal="center" vertical="center" readingOrder="1"/>
    </xf>
    <xf numFmtId="0" fontId="9" fillId="0" borderId="8" xfId="79" applyFont="1" applyFill="1" applyBorder="1" applyAlignment="1">
      <alignment horizontal="center" vertical="center" wrapText="1"/>
    </xf>
    <xf numFmtId="0" fontId="9" fillId="0" borderId="1" xfId="79" applyFont="1" applyFill="1" applyBorder="1" applyAlignment="1">
      <alignment horizontal="center" vertical="center" wrapText="1"/>
    </xf>
    <xf numFmtId="0" fontId="9" fillId="0" borderId="4" xfId="79" applyFont="1" applyFill="1" applyBorder="1" applyAlignment="1">
      <alignment horizontal="center" vertical="center" wrapText="1"/>
    </xf>
    <xf numFmtId="0" fontId="9" fillId="42" borderId="9" xfId="79" applyFont="1" applyFill="1" applyBorder="1" applyAlignment="1">
      <alignment horizontal="center" vertical="center" wrapText="1"/>
    </xf>
    <xf numFmtId="0" fontId="9" fillId="0" borderId="3" xfId="79" applyFont="1" applyBorder="1" applyAlignment="1">
      <alignment horizontal="center" vertical="center" wrapText="1"/>
    </xf>
    <xf numFmtId="0" fontId="9" fillId="0" borderId="7" xfId="79" applyFont="1" applyBorder="1" applyAlignment="1">
      <alignment horizontal="center" vertical="center" wrapText="1"/>
    </xf>
    <xf numFmtId="0" fontId="9" fillId="0" borderId="6" xfId="79" applyFont="1" applyBorder="1" applyAlignment="1">
      <alignment horizontal="center" vertical="center" wrapText="1"/>
    </xf>
    <xf numFmtId="0" fontId="9" fillId="42" borderId="3" xfId="79" applyFont="1" applyFill="1" applyBorder="1" applyAlignment="1">
      <alignment horizontal="center" vertical="center" wrapText="1"/>
    </xf>
    <xf numFmtId="0" fontId="9" fillId="42" borderId="7" xfId="79" applyFont="1" applyFill="1" applyBorder="1" applyAlignment="1">
      <alignment horizontal="center" vertical="center" wrapText="1"/>
    </xf>
    <xf numFmtId="0" fontId="9" fillId="42" borderId="6" xfId="79" applyFont="1" applyFill="1" applyBorder="1" applyAlignment="1">
      <alignment horizontal="center" vertical="center" wrapText="1"/>
    </xf>
    <xf numFmtId="0" fontId="9" fillId="0" borderId="3" xfId="79" applyFont="1" applyBorder="1" applyAlignment="1">
      <alignment horizontal="left" vertical="center" wrapText="1"/>
    </xf>
    <xf numFmtId="0" fontId="9" fillId="0" borderId="7" xfId="79" applyFont="1" applyBorder="1" applyAlignment="1">
      <alignment horizontal="left" vertical="center" wrapText="1"/>
    </xf>
    <xf numFmtId="0" fontId="9" fillId="0" borderId="6" xfId="79" applyFont="1" applyBorder="1" applyAlignment="1">
      <alignment horizontal="left" vertical="center" wrapText="1"/>
    </xf>
    <xf numFmtId="0" fontId="9" fillId="42" borderId="8" xfId="79" applyFont="1" applyFill="1" applyBorder="1" applyAlignment="1">
      <alignment horizontal="center" vertical="center" wrapText="1"/>
    </xf>
    <xf numFmtId="0" fontId="9" fillId="42" borderId="4" xfId="79" applyFill="1" applyBorder="1" applyAlignment="1">
      <alignment horizontal="center" vertical="center" wrapText="1"/>
    </xf>
    <xf numFmtId="0" fontId="9" fillId="42" borderId="9" xfId="79" applyFill="1" applyBorder="1" applyAlignment="1">
      <alignment horizontal="center" vertical="center" wrapText="1"/>
    </xf>
    <xf numFmtId="0" fontId="9" fillId="0" borderId="8" xfId="79" applyFont="1" applyBorder="1" applyAlignment="1">
      <alignment horizontal="center" vertical="center" wrapText="1"/>
    </xf>
    <xf numFmtId="0" fontId="9" fillId="0" borderId="1" xfId="79" applyFont="1" applyBorder="1" applyAlignment="1">
      <alignment horizontal="center" vertical="center" wrapText="1"/>
    </xf>
    <xf numFmtId="0" fontId="9" fillId="0" borderId="4" xfId="79" applyFont="1" applyBorder="1" applyAlignment="1">
      <alignment horizontal="center" vertical="center" wrapText="1"/>
    </xf>
    <xf numFmtId="0" fontId="19" fillId="12" borderId="8" xfId="78" applyFont="1" applyFill="1" applyBorder="1" applyAlignment="1">
      <alignment horizontal="center" vertical="center" readingOrder="1"/>
    </xf>
    <xf numFmtId="0" fontId="19" fillId="12" borderId="1" xfId="78" applyFont="1" applyFill="1" applyBorder="1" applyAlignment="1">
      <alignment horizontal="center" vertical="center" readingOrder="1"/>
    </xf>
    <xf numFmtId="0" fontId="19" fillId="12" borderId="4" xfId="78" applyFont="1" applyFill="1" applyBorder="1" applyAlignment="1">
      <alignment horizontal="center" vertical="center" readingOrder="1"/>
    </xf>
    <xf numFmtId="0" fontId="19" fillId="12" borderId="9" xfId="78" applyFont="1" applyFill="1" applyBorder="1" applyAlignment="1">
      <alignment horizontal="center" vertical="center" readingOrder="1"/>
    </xf>
    <xf numFmtId="0" fontId="9" fillId="0" borderId="8" xfId="79" applyFont="1" applyFill="1" applyBorder="1" applyAlignment="1">
      <alignment horizontal="center" vertical="center"/>
    </xf>
    <xf numFmtId="0" fontId="9" fillId="0" borderId="4" xfId="79" applyFont="1" applyFill="1" applyBorder="1" applyAlignment="1">
      <alignment horizontal="center" vertical="center"/>
    </xf>
    <xf numFmtId="0" fontId="19" fillId="11" borderId="8" xfId="78" applyFont="1" applyFill="1" applyBorder="1" applyAlignment="1">
      <alignment horizontal="center" vertical="center" readingOrder="1"/>
    </xf>
    <xf numFmtId="0" fontId="19" fillId="11" borderId="1" xfId="78" applyFont="1" applyFill="1" applyBorder="1" applyAlignment="1">
      <alignment horizontal="center" vertical="center" readingOrder="1"/>
    </xf>
    <xf numFmtId="0" fontId="19" fillId="11" borderId="4" xfId="78" applyFont="1" applyFill="1" applyBorder="1" applyAlignment="1">
      <alignment horizontal="center" vertical="center" readingOrder="1"/>
    </xf>
    <xf numFmtId="0" fontId="19" fillId="11" borderId="9" xfId="78" applyFont="1" applyFill="1" applyBorder="1" applyAlignment="1">
      <alignment horizontal="center" vertical="center" readingOrder="1"/>
    </xf>
    <xf numFmtId="0" fontId="9" fillId="0" borderId="9" xfId="79" applyFont="1" applyBorder="1" applyAlignment="1">
      <alignment horizontal="center" vertical="center" wrapText="1"/>
    </xf>
    <xf numFmtId="0" fontId="9" fillId="0" borderId="9" xfId="79" applyFont="1" applyFill="1" applyBorder="1" applyAlignment="1">
      <alignment horizontal="center" vertical="center" wrapText="1"/>
    </xf>
    <xf numFmtId="0" fontId="9" fillId="7" borderId="8" xfId="79" applyFill="1" applyBorder="1" applyAlignment="1">
      <alignment horizontal="left" wrapText="1"/>
    </xf>
    <xf numFmtId="0" fontId="9" fillId="7" borderId="1" xfId="79" applyFill="1" applyBorder="1" applyAlignment="1">
      <alignment horizontal="left" wrapText="1"/>
    </xf>
    <xf numFmtId="0" fontId="9" fillId="7" borderId="4" xfId="79" applyFill="1" applyBorder="1" applyAlignment="1">
      <alignment horizontal="left" wrapText="1"/>
    </xf>
    <xf numFmtId="0" fontId="19" fillId="41" borderId="0" xfId="0" applyFont="1" applyFill="1">
      <alignment readingOrder="1"/>
    </xf>
    <xf numFmtId="0" fontId="19" fillId="7" borderId="8" xfId="78" applyFont="1" applyFill="1" applyBorder="1" applyAlignment="1">
      <alignment horizontal="left" wrapText="1" readingOrder="1"/>
    </xf>
    <xf numFmtId="0" fontId="19" fillId="7" borderId="1" xfId="78" applyFont="1" applyFill="1" applyBorder="1" applyAlignment="1">
      <alignment horizontal="left" wrapText="1" readingOrder="1"/>
    </xf>
    <xf numFmtId="0" fontId="19" fillId="7" borderId="4" xfId="78" applyFont="1" applyFill="1" applyBorder="1" applyAlignment="1">
      <alignment horizontal="left" wrapText="1" readingOrder="1"/>
    </xf>
    <xf numFmtId="0" fontId="9" fillId="7" borderId="8" xfId="79" applyFont="1" applyFill="1" applyBorder="1" applyAlignment="1">
      <alignment horizontal="left" wrapText="1"/>
    </xf>
    <xf numFmtId="0" fontId="9" fillId="7" borderId="1" xfId="79" applyFont="1" applyFill="1" applyBorder="1" applyAlignment="1">
      <alignment horizontal="left" wrapText="1"/>
    </xf>
    <xf numFmtId="0" fontId="9" fillId="7" borderId="4" xfId="79" applyFont="1" applyFill="1" applyBorder="1" applyAlignment="1">
      <alignment horizontal="left" wrapText="1"/>
    </xf>
    <xf numFmtId="14" fontId="9" fillId="7" borderId="8" xfId="79" applyNumberFormat="1" applyFill="1" applyBorder="1" applyAlignment="1">
      <alignment horizontal="left" wrapText="1"/>
    </xf>
    <xf numFmtId="14" fontId="9" fillId="7" borderId="1" xfId="79" applyNumberFormat="1" applyFill="1" applyBorder="1" applyAlignment="1">
      <alignment horizontal="left" wrapText="1"/>
    </xf>
    <xf numFmtId="14" fontId="9" fillId="7" borderId="4" xfId="79" applyNumberFormat="1" applyFill="1" applyBorder="1" applyAlignment="1">
      <alignment horizontal="left" wrapText="1"/>
    </xf>
    <xf numFmtId="0" fontId="34" fillId="45" borderId="13" xfId="18" applyFont="1" applyFill="1" applyBorder="1" applyAlignment="1">
      <alignment horizontal="center" wrapText="1"/>
    </xf>
    <xf numFmtId="0" fontId="34" fillId="45" borderId="15" xfId="18" applyFont="1" applyFill="1" applyBorder="1" applyAlignment="1">
      <alignment horizontal="center" wrapText="1"/>
    </xf>
    <xf numFmtId="0" fontId="34" fillId="45" borderId="14" xfId="18" applyFont="1" applyFill="1" applyBorder="1" applyAlignment="1">
      <alignment horizontal="center" wrapText="1"/>
    </xf>
    <xf numFmtId="0" fontId="9" fillId="85" borderId="0" xfId="78" applyFill="1" applyAlignment="1">
      <alignment horizontal="left" vertical="center" wrapText="1" readingOrder="1"/>
    </xf>
    <xf numFmtId="0" fontId="9" fillId="85" borderId="0" xfId="78" applyFill="1" applyAlignment="1">
      <alignment horizontal="left" vertical="center" readingOrder="1"/>
    </xf>
    <xf numFmtId="0" fontId="12" fillId="9" borderId="9" xfId="0" applyFont="1" applyFill="1" applyBorder="1" applyAlignment="1">
      <alignment horizontal="center"/>
    </xf>
    <xf numFmtId="0" fontId="19" fillId="0" borderId="9" xfId="0" applyFont="1" applyBorder="1" applyAlignment="1">
      <alignment horizontal="center"/>
    </xf>
    <xf numFmtId="0" fontId="16" fillId="10" borderId="8" xfId="16" applyFont="1" applyFill="1" applyBorder="1" applyAlignment="1">
      <alignment horizontal="center"/>
    </xf>
    <xf numFmtId="0" fontId="16" fillId="10" borderId="1" xfId="16" applyFont="1" applyFill="1" applyBorder="1" applyAlignment="1">
      <alignment horizontal="center"/>
    </xf>
    <xf numFmtId="0" fontId="16" fillId="10" borderId="4" xfId="16" applyFont="1" applyFill="1" applyBorder="1" applyAlignment="1">
      <alignment horizontal="center"/>
    </xf>
    <xf numFmtId="0" fontId="19" fillId="15" borderId="9" xfId="16" applyFont="1" applyFill="1" applyBorder="1" applyAlignment="1">
      <alignment horizontal="center"/>
    </xf>
    <xf numFmtId="0" fontId="12" fillId="9" borderId="9" xfId="78" applyFont="1" applyFill="1" applyBorder="1" applyAlignment="1">
      <alignment horizontal="center"/>
    </xf>
    <xf numFmtId="0" fontId="19" fillId="0" borderId="9" xfId="78" applyFont="1" applyBorder="1" applyAlignment="1">
      <alignment horizontal="center"/>
    </xf>
  </cellXfs>
  <cellStyles count="8994">
    <cellStyle name="20% - Accent1 2" xfId="81"/>
    <cellStyle name="20% - Accent1 2 2" xfId="145"/>
    <cellStyle name="20% - Accent1 2 2 2" xfId="190"/>
    <cellStyle name="20% - Accent1 2 2 2 2" xfId="191"/>
    <cellStyle name="20% - Accent1 2 2 3" xfId="192"/>
    <cellStyle name="20% - Accent1 2 2 3 2" xfId="193"/>
    <cellStyle name="20% - Accent1 2 2 4" xfId="194"/>
    <cellStyle name="20% - Accent1 2 2 5" xfId="195"/>
    <cellStyle name="20% - Accent1 2 3" xfId="196"/>
    <cellStyle name="20% - Accent1 2 3 2" xfId="197"/>
    <cellStyle name="20% - Accent1 2 4" xfId="198"/>
    <cellStyle name="20% - Accent1 2 4 2" xfId="199"/>
    <cellStyle name="20% - Accent1 2 5" xfId="200"/>
    <cellStyle name="20% - Accent1 2 5 2" xfId="201"/>
    <cellStyle name="20% - Accent1 3" xfId="202"/>
    <cellStyle name="20% - Accent1 3 2" xfId="203"/>
    <cellStyle name="20% - Accent1 3 2 2" xfId="204"/>
    <cellStyle name="20% - Accent1 3 2 2 2" xfId="205"/>
    <cellStyle name="20% - Accent1 3 2 3" xfId="206"/>
    <cellStyle name="20% - Accent1 3 2 3 2" xfId="207"/>
    <cellStyle name="20% - Accent1 3 2 4" xfId="208"/>
    <cellStyle name="20% - Accent1 3 3" xfId="209"/>
    <cellStyle name="20% - Accent1 3 3 2" xfId="210"/>
    <cellStyle name="20% - Accent1 3 4" xfId="211"/>
    <cellStyle name="20% - Accent1 3 4 2" xfId="212"/>
    <cellStyle name="20% - Accent1 3 5" xfId="213"/>
    <cellStyle name="20% - Accent1 4" xfId="214"/>
    <cellStyle name="20% - Accent1 4 2" xfId="215"/>
    <cellStyle name="20% - Accent1 4 2 2" xfId="216"/>
    <cellStyle name="20% - Accent1 4 2 2 2" xfId="217"/>
    <cellStyle name="20% - Accent1 4 2 3" xfId="218"/>
    <cellStyle name="20% - Accent1 4 2 3 2" xfId="219"/>
    <cellStyle name="20% - Accent1 4 2 4" xfId="220"/>
    <cellStyle name="20% - Accent1 4 3" xfId="221"/>
    <cellStyle name="20% - Accent1 4 3 2" xfId="222"/>
    <cellStyle name="20% - Accent1 4 4" xfId="223"/>
    <cellStyle name="20% - Accent1 4 4 2" xfId="224"/>
    <cellStyle name="20% - Accent1 4 5" xfId="225"/>
    <cellStyle name="20% - Accent1 5" xfId="226"/>
    <cellStyle name="20% - Accent1 5 2" xfId="227"/>
    <cellStyle name="20% - Accent1 5 2 2" xfId="228"/>
    <cellStyle name="20% - Accent1 5 3" xfId="229"/>
    <cellStyle name="20% - Accent1 5 3 2" xfId="230"/>
    <cellStyle name="20% - Accent1 5 4" xfId="231"/>
    <cellStyle name="20% - Accent2 2" xfId="82"/>
    <cellStyle name="20% - Accent2 2 2" xfId="232"/>
    <cellStyle name="20% - Accent2 2 2 2" xfId="233"/>
    <cellStyle name="20% - Accent2 2 2 2 2" xfId="234"/>
    <cellStyle name="20% - Accent2 2 2 3" xfId="235"/>
    <cellStyle name="20% - Accent2 2 2 3 2" xfId="236"/>
    <cellStyle name="20% - Accent2 2 2 4" xfId="237"/>
    <cellStyle name="20% - Accent2 2 3" xfId="238"/>
    <cellStyle name="20% - Accent2 2 3 2" xfId="239"/>
    <cellStyle name="20% - Accent2 2 4" xfId="240"/>
    <cellStyle name="20% - Accent2 2 4 2" xfId="241"/>
    <cellStyle name="20% - Accent2 2 5" xfId="242"/>
    <cellStyle name="20% - Accent2 2 5 2" xfId="243"/>
    <cellStyle name="20% - Accent2 3" xfId="244"/>
    <cellStyle name="20% - Accent2 3 2" xfId="245"/>
    <cellStyle name="20% - Accent2 3 2 2" xfId="246"/>
    <cellStyle name="20% - Accent2 3 2 2 2" xfId="247"/>
    <cellStyle name="20% - Accent2 3 2 3" xfId="248"/>
    <cellStyle name="20% - Accent2 3 2 3 2" xfId="249"/>
    <cellStyle name="20% - Accent2 3 2 4" xfId="250"/>
    <cellStyle name="20% - Accent2 3 3" xfId="251"/>
    <cellStyle name="20% - Accent2 3 3 2" xfId="252"/>
    <cellStyle name="20% - Accent2 3 4" xfId="253"/>
    <cellStyle name="20% - Accent2 3 4 2" xfId="254"/>
    <cellStyle name="20% - Accent2 3 5" xfId="255"/>
    <cellStyle name="20% - Accent2 4" xfId="256"/>
    <cellStyle name="20% - Accent2 4 2" xfId="257"/>
    <cellStyle name="20% - Accent2 4 2 2" xfId="258"/>
    <cellStyle name="20% - Accent2 4 2 2 2" xfId="259"/>
    <cellStyle name="20% - Accent2 4 2 3" xfId="260"/>
    <cellStyle name="20% - Accent2 4 2 3 2" xfId="261"/>
    <cellStyle name="20% - Accent2 4 2 4" xfId="262"/>
    <cellStyle name="20% - Accent2 4 3" xfId="263"/>
    <cellStyle name="20% - Accent2 4 3 2" xfId="264"/>
    <cellStyle name="20% - Accent2 4 4" xfId="265"/>
    <cellStyle name="20% - Accent2 4 4 2" xfId="266"/>
    <cellStyle name="20% - Accent2 4 5" xfId="267"/>
    <cellStyle name="20% - Accent2 5" xfId="268"/>
    <cellStyle name="20% - Accent2 5 2" xfId="269"/>
    <cellStyle name="20% - Accent2 5 2 2" xfId="270"/>
    <cellStyle name="20% - Accent2 5 3" xfId="271"/>
    <cellStyle name="20% - Accent2 5 3 2" xfId="272"/>
    <cellStyle name="20% - Accent2 5 4" xfId="273"/>
    <cellStyle name="20% - Accent3 2" xfId="83"/>
    <cellStyle name="20% - Accent3 2 2" xfId="146"/>
    <cellStyle name="20% - Accent3 2 2 2" xfId="274"/>
    <cellStyle name="20% - Accent3 2 2 2 2" xfId="275"/>
    <cellStyle name="20% - Accent3 2 2 3" xfId="276"/>
    <cellStyle name="20% - Accent3 2 2 3 2" xfId="277"/>
    <cellStyle name="20% - Accent3 2 2 4" xfId="278"/>
    <cellStyle name="20% - Accent3 2 2 5" xfId="279"/>
    <cellStyle name="20% - Accent3 2 3" xfId="280"/>
    <cellStyle name="20% - Accent3 2 3 2" xfId="281"/>
    <cellStyle name="20% - Accent3 2 4" xfId="282"/>
    <cellStyle name="20% - Accent3 2 4 2" xfId="283"/>
    <cellStyle name="20% - Accent3 2 5" xfId="284"/>
    <cellStyle name="20% - Accent3 2 5 2" xfId="285"/>
    <cellStyle name="20% - Accent3 3" xfId="286"/>
    <cellStyle name="20% - Accent3 3 2" xfId="287"/>
    <cellStyle name="20% - Accent3 3 2 2" xfId="288"/>
    <cellStyle name="20% - Accent3 3 2 2 2" xfId="289"/>
    <cellStyle name="20% - Accent3 3 2 3" xfId="290"/>
    <cellStyle name="20% - Accent3 3 2 3 2" xfId="291"/>
    <cellStyle name="20% - Accent3 3 2 4" xfId="292"/>
    <cellStyle name="20% - Accent3 3 3" xfId="293"/>
    <cellStyle name="20% - Accent3 3 3 2" xfId="294"/>
    <cellStyle name="20% - Accent3 3 4" xfId="295"/>
    <cellStyle name="20% - Accent3 3 4 2" xfId="296"/>
    <cellStyle name="20% - Accent3 3 5" xfId="297"/>
    <cellStyle name="20% - Accent3 4" xfId="298"/>
    <cellStyle name="20% - Accent3 4 2" xfId="299"/>
    <cellStyle name="20% - Accent3 4 2 2" xfId="300"/>
    <cellStyle name="20% - Accent3 4 2 2 2" xfId="301"/>
    <cellStyle name="20% - Accent3 4 2 3" xfId="302"/>
    <cellStyle name="20% - Accent3 4 2 3 2" xfId="303"/>
    <cellStyle name="20% - Accent3 4 2 4" xfId="304"/>
    <cellStyle name="20% - Accent3 4 3" xfId="305"/>
    <cellStyle name="20% - Accent3 4 3 2" xfId="306"/>
    <cellStyle name="20% - Accent3 4 4" xfId="307"/>
    <cellStyle name="20% - Accent3 4 4 2" xfId="308"/>
    <cellStyle name="20% - Accent3 4 5" xfId="309"/>
    <cellStyle name="20% - Accent3 5" xfId="310"/>
    <cellStyle name="20% - Accent3 5 2" xfId="311"/>
    <cellStyle name="20% - Accent3 5 2 2" xfId="312"/>
    <cellStyle name="20% - Accent3 5 3" xfId="313"/>
    <cellStyle name="20% - Accent3 5 3 2" xfId="314"/>
    <cellStyle name="20% - Accent3 5 4" xfId="315"/>
    <cellStyle name="20% - Accent4 2" xfId="84"/>
    <cellStyle name="20% - Accent4 2 2" xfId="147"/>
    <cellStyle name="20% - Accent4 2 2 2" xfId="316"/>
    <cellStyle name="20% - Accent4 2 2 2 2" xfId="317"/>
    <cellStyle name="20% - Accent4 2 2 3" xfId="318"/>
    <cellStyle name="20% - Accent4 2 2 3 2" xfId="319"/>
    <cellStyle name="20% - Accent4 2 2 4" xfId="320"/>
    <cellStyle name="20% - Accent4 2 2 5" xfId="321"/>
    <cellStyle name="20% - Accent4 2 3" xfId="322"/>
    <cellStyle name="20% - Accent4 2 3 2" xfId="323"/>
    <cellStyle name="20% - Accent4 2 4" xfId="324"/>
    <cellStyle name="20% - Accent4 2 4 2" xfId="325"/>
    <cellStyle name="20% - Accent4 2 5" xfId="326"/>
    <cellStyle name="20% - Accent4 2 5 2" xfId="327"/>
    <cellStyle name="20% - Accent4 3" xfId="328"/>
    <cellStyle name="20% - Accent4 3 2" xfId="329"/>
    <cellStyle name="20% - Accent4 3 2 2" xfId="330"/>
    <cellStyle name="20% - Accent4 3 2 2 2" xfId="331"/>
    <cellStyle name="20% - Accent4 3 2 3" xfId="332"/>
    <cellStyle name="20% - Accent4 3 2 3 2" xfId="333"/>
    <cellStyle name="20% - Accent4 3 2 4" xfId="334"/>
    <cellStyle name="20% - Accent4 3 3" xfId="335"/>
    <cellStyle name="20% - Accent4 3 3 2" xfId="336"/>
    <cellStyle name="20% - Accent4 3 4" xfId="337"/>
    <cellStyle name="20% - Accent4 3 4 2" xfId="338"/>
    <cellStyle name="20% - Accent4 3 5" xfId="339"/>
    <cellStyle name="20% - Accent4 4" xfId="340"/>
    <cellStyle name="20% - Accent4 4 2" xfId="341"/>
    <cellStyle name="20% - Accent4 4 2 2" xfId="342"/>
    <cellStyle name="20% - Accent4 4 2 2 2" xfId="343"/>
    <cellStyle name="20% - Accent4 4 2 3" xfId="344"/>
    <cellStyle name="20% - Accent4 4 2 3 2" xfId="345"/>
    <cellStyle name="20% - Accent4 4 2 4" xfId="346"/>
    <cellStyle name="20% - Accent4 4 3" xfId="347"/>
    <cellStyle name="20% - Accent4 4 3 2" xfId="348"/>
    <cellStyle name="20% - Accent4 4 4" xfId="349"/>
    <cellStyle name="20% - Accent4 4 4 2" xfId="350"/>
    <cellStyle name="20% - Accent4 4 5" xfId="351"/>
    <cellStyle name="20% - Accent4 5" xfId="352"/>
    <cellStyle name="20% - Accent4 5 2" xfId="353"/>
    <cellStyle name="20% - Accent4 5 2 2" xfId="354"/>
    <cellStyle name="20% - Accent4 5 3" xfId="355"/>
    <cellStyle name="20% - Accent4 5 3 2" xfId="356"/>
    <cellStyle name="20% - Accent4 5 4" xfId="357"/>
    <cellStyle name="20% - Accent5 2" xfId="85"/>
    <cellStyle name="20% - Accent5 2 2" xfId="358"/>
    <cellStyle name="20% - Accent5 2 2 2" xfId="359"/>
    <cellStyle name="20% - Accent5 2 2 2 2" xfId="360"/>
    <cellStyle name="20% - Accent5 2 2 3" xfId="361"/>
    <cellStyle name="20% - Accent5 2 2 3 2" xfId="362"/>
    <cellStyle name="20% - Accent5 2 2 4" xfId="363"/>
    <cellStyle name="20% - Accent5 2 3" xfId="364"/>
    <cellStyle name="20% - Accent5 2 3 2" xfId="365"/>
    <cellStyle name="20% - Accent5 2 4" xfId="366"/>
    <cellStyle name="20% - Accent5 2 4 2" xfId="367"/>
    <cellStyle name="20% - Accent5 2 5" xfId="368"/>
    <cellStyle name="20% - Accent5 2 5 2" xfId="369"/>
    <cellStyle name="20% - Accent5 3" xfId="370"/>
    <cellStyle name="20% - Accent5 3 2" xfId="371"/>
    <cellStyle name="20% - Accent5 3 2 2" xfId="372"/>
    <cellStyle name="20% - Accent5 3 2 2 2" xfId="373"/>
    <cellStyle name="20% - Accent5 3 2 3" xfId="374"/>
    <cellStyle name="20% - Accent5 3 2 3 2" xfId="375"/>
    <cellStyle name="20% - Accent5 3 2 4" xfId="376"/>
    <cellStyle name="20% - Accent5 3 3" xfId="377"/>
    <cellStyle name="20% - Accent5 3 3 2" xfId="378"/>
    <cellStyle name="20% - Accent5 3 4" xfId="379"/>
    <cellStyle name="20% - Accent5 3 4 2" xfId="380"/>
    <cellStyle name="20% - Accent5 3 5" xfId="381"/>
    <cellStyle name="20% - Accent5 4" xfId="382"/>
    <cellStyle name="20% - Accent5 4 2" xfId="383"/>
    <cellStyle name="20% - Accent5 4 2 2" xfId="384"/>
    <cellStyle name="20% - Accent5 4 2 2 2" xfId="385"/>
    <cellStyle name="20% - Accent5 4 2 3" xfId="386"/>
    <cellStyle name="20% - Accent5 4 2 3 2" xfId="387"/>
    <cellStyle name="20% - Accent5 4 2 4" xfId="388"/>
    <cellStyle name="20% - Accent5 4 3" xfId="389"/>
    <cellStyle name="20% - Accent5 4 3 2" xfId="390"/>
    <cellStyle name="20% - Accent5 4 4" xfId="391"/>
    <cellStyle name="20% - Accent5 4 4 2" xfId="392"/>
    <cellStyle name="20% - Accent5 4 5" xfId="393"/>
    <cellStyle name="20% - Accent5 5" xfId="394"/>
    <cellStyle name="20% - Accent5 5 2" xfId="395"/>
    <cellStyle name="20% - Accent5 5 2 2" xfId="396"/>
    <cellStyle name="20% - Accent5 5 3" xfId="397"/>
    <cellStyle name="20% - Accent5 5 3 2" xfId="398"/>
    <cellStyle name="20% - Accent5 5 4" xfId="399"/>
    <cellStyle name="20% - Accent6 2" xfId="86"/>
    <cellStyle name="20% - Accent6 2 2" xfId="400"/>
    <cellStyle name="20% - Accent6 2 2 2" xfId="401"/>
    <cellStyle name="20% - Accent6 2 2 2 2" xfId="402"/>
    <cellStyle name="20% - Accent6 2 2 3" xfId="403"/>
    <cellStyle name="20% - Accent6 2 2 3 2" xfId="404"/>
    <cellStyle name="20% - Accent6 2 2 4" xfId="405"/>
    <cellStyle name="20% - Accent6 2 3" xfId="406"/>
    <cellStyle name="20% - Accent6 2 3 2" xfId="407"/>
    <cellStyle name="20% - Accent6 2 4" xfId="408"/>
    <cellStyle name="20% - Accent6 2 4 2" xfId="409"/>
    <cellStyle name="20% - Accent6 2 5" xfId="410"/>
    <cellStyle name="20% - Accent6 2 5 2" xfId="411"/>
    <cellStyle name="20% - Accent6 3" xfId="412"/>
    <cellStyle name="20% - Accent6 3 2" xfId="413"/>
    <cellStyle name="20% - Accent6 3 2 2" xfId="414"/>
    <cellStyle name="20% - Accent6 3 2 2 2" xfId="415"/>
    <cellStyle name="20% - Accent6 3 2 3" xfId="416"/>
    <cellStyle name="20% - Accent6 3 2 3 2" xfId="417"/>
    <cellStyle name="20% - Accent6 3 2 4" xfId="418"/>
    <cellStyle name="20% - Accent6 3 3" xfId="419"/>
    <cellStyle name="20% - Accent6 3 3 2" xfId="420"/>
    <cellStyle name="20% - Accent6 3 4" xfId="421"/>
    <cellStyle name="20% - Accent6 3 4 2" xfId="422"/>
    <cellStyle name="20% - Accent6 3 5" xfId="423"/>
    <cellStyle name="20% - Accent6 4" xfId="424"/>
    <cellStyle name="20% - Accent6 4 2" xfId="425"/>
    <cellStyle name="20% - Accent6 4 2 2" xfId="426"/>
    <cellStyle name="20% - Accent6 4 2 2 2" xfId="427"/>
    <cellStyle name="20% - Accent6 4 2 3" xfId="428"/>
    <cellStyle name="20% - Accent6 4 2 3 2" xfId="429"/>
    <cellStyle name="20% - Accent6 4 2 4" xfId="430"/>
    <cellStyle name="20% - Accent6 4 3" xfId="431"/>
    <cellStyle name="20% - Accent6 4 3 2" xfId="432"/>
    <cellStyle name="20% - Accent6 4 4" xfId="433"/>
    <cellStyle name="20% - Accent6 4 4 2" xfId="434"/>
    <cellStyle name="20% - Accent6 4 5" xfId="435"/>
    <cellStyle name="20% - Accent6 5" xfId="436"/>
    <cellStyle name="20% - Accent6 5 2" xfId="437"/>
    <cellStyle name="20% - Accent6 5 2 2" xfId="438"/>
    <cellStyle name="20% - Accent6 5 3" xfId="439"/>
    <cellStyle name="20% - Accent6 5 3 2" xfId="440"/>
    <cellStyle name="20% - Accent6 5 4" xfId="441"/>
    <cellStyle name="40% - Accent1 2" xfId="87"/>
    <cellStyle name="40% - Accent1 2 2" xfId="148"/>
    <cellStyle name="40% - Accent1 2 2 2" xfId="442"/>
    <cellStyle name="40% - Accent1 2 2 2 2" xfId="443"/>
    <cellStyle name="40% - Accent1 2 2 3" xfId="444"/>
    <cellStyle name="40% - Accent1 2 2 3 2" xfId="445"/>
    <cellStyle name="40% - Accent1 2 2 4" xfId="446"/>
    <cellStyle name="40% - Accent1 2 2 5" xfId="447"/>
    <cellStyle name="40% - Accent1 2 3" xfId="448"/>
    <cellStyle name="40% - Accent1 2 3 2" xfId="449"/>
    <cellStyle name="40% - Accent1 2 4" xfId="450"/>
    <cellStyle name="40% - Accent1 2 4 2" xfId="451"/>
    <cellStyle name="40% - Accent1 2 5" xfId="452"/>
    <cellStyle name="40% - Accent1 2 5 2" xfId="453"/>
    <cellStyle name="40% - Accent1 3" xfId="454"/>
    <cellStyle name="40% - Accent1 3 2" xfId="455"/>
    <cellStyle name="40% - Accent1 3 2 2" xfId="456"/>
    <cellStyle name="40% - Accent1 3 2 2 2" xfId="457"/>
    <cellStyle name="40% - Accent1 3 2 3" xfId="458"/>
    <cellStyle name="40% - Accent1 3 2 3 2" xfId="459"/>
    <cellStyle name="40% - Accent1 3 2 4" xfId="460"/>
    <cellStyle name="40% - Accent1 3 3" xfId="461"/>
    <cellStyle name="40% - Accent1 3 3 2" xfId="462"/>
    <cellStyle name="40% - Accent1 3 4" xfId="463"/>
    <cellStyle name="40% - Accent1 3 4 2" xfId="464"/>
    <cellStyle name="40% - Accent1 3 5" xfId="465"/>
    <cellStyle name="40% - Accent1 4" xfId="466"/>
    <cellStyle name="40% - Accent1 4 2" xfId="467"/>
    <cellStyle name="40% - Accent1 4 2 2" xfId="468"/>
    <cellStyle name="40% - Accent1 4 2 2 2" xfId="469"/>
    <cellStyle name="40% - Accent1 4 2 3" xfId="470"/>
    <cellStyle name="40% - Accent1 4 2 3 2" xfId="471"/>
    <cellStyle name="40% - Accent1 4 2 4" xfId="472"/>
    <cellStyle name="40% - Accent1 4 3" xfId="473"/>
    <cellStyle name="40% - Accent1 4 3 2" xfId="474"/>
    <cellStyle name="40% - Accent1 4 4" xfId="475"/>
    <cellStyle name="40% - Accent1 4 4 2" xfId="476"/>
    <cellStyle name="40% - Accent1 4 5" xfId="477"/>
    <cellStyle name="40% - Accent1 5" xfId="478"/>
    <cellStyle name="40% - Accent1 5 2" xfId="479"/>
    <cellStyle name="40% - Accent1 5 2 2" xfId="480"/>
    <cellStyle name="40% - Accent1 5 3" xfId="481"/>
    <cellStyle name="40% - Accent1 5 3 2" xfId="482"/>
    <cellStyle name="40% - Accent1 5 4" xfId="483"/>
    <cellStyle name="40% - Accent2 2" xfId="88"/>
    <cellStyle name="40% - Accent2 2 2" xfId="149"/>
    <cellStyle name="40% - Accent2 2 2 2" xfId="484"/>
    <cellStyle name="40% - Accent2 2 2 2 2" xfId="485"/>
    <cellStyle name="40% - Accent2 2 2 3" xfId="486"/>
    <cellStyle name="40% - Accent2 2 2 3 2" xfId="487"/>
    <cellStyle name="40% - Accent2 2 2 4" xfId="488"/>
    <cellStyle name="40% - Accent2 2 2 5" xfId="489"/>
    <cellStyle name="40% - Accent2 2 3" xfId="490"/>
    <cellStyle name="40% - Accent2 2 3 2" xfId="491"/>
    <cellStyle name="40% - Accent2 2 4" xfId="492"/>
    <cellStyle name="40% - Accent2 2 4 2" xfId="493"/>
    <cellStyle name="40% - Accent2 2 5" xfId="494"/>
    <cellStyle name="40% - Accent2 2 5 2" xfId="495"/>
    <cellStyle name="40% - Accent2 3" xfId="496"/>
    <cellStyle name="40% - Accent2 3 2" xfId="497"/>
    <cellStyle name="40% - Accent2 3 2 2" xfId="498"/>
    <cellStyle name="40% - Accent2 3 2 2 2" xfId="499"/>
    <cellStyle name="40% - Accent2 3 2 3" xfId="500"/>
    <cellStyle name="40% - Accent2 3 2 3 2" xfId="501"/>
    <cellStyle name="40% - Accent2 3 2 4" xfId="502"/>
    <cellStyle name="40% - Accent2 3 3" xfId="503"/>
    <cellStyle name="40% - Accent2 3 3 2" xfId="504"/>
    <cellStyle name="40% - Accent2 3 4" xfId="505"/>
    <cellStyle name="40% - Accent2 3 4 2" xfId="506"/>
    <cellStyle name="40% - Accent2 3 5" xfId="507"/>
    <cellStyle name="40% - Accent2 4" xfId="508"/>
    <cellStyle name="40% - Accent2 4 2" xfId="509"/>
    <cellStyle name="40% - Accent2 4 2 2" xfId="510"/>
    <cellStyle name="40% - Accent2 4 2 2 2" xfId="511"/>
    <cellStyle name="40% - Accent2 4 2 3" xfId="512"/>
    <cellStyle name="40% - Accent2 4 2 3 2" xfId="513"/>
    <cellStyle name="40% - Accent2 4 2 4" xfId="514"/>
    <cellStyle name="40% - Accent2 4 3" xfId="515"/>
    <cellStyle name="40% - Accent2 4 3 2" xfId="516"/>
    <cellStyle name="40% - Accent2 4 4" xfId="517"/>
    <cellStyle name="40% - Accent2 4 4 2" xfId="518"/>
    <cellStyle name="40% - Accent2 4 5" xfId="519"/>
    <cellStyle name="40% - Accent2 5" xfId="520"/>
    <cellStyle name="40% - Accent2 5 2" xfId="521"/>
    <cellStyle name="40% - Accent2 5 2 2" xfId="522"/>
    <cellStyle name="40% - Accent2 5 3" xfId="523"/>
    <cellStyle name="40% - Accent2 5 3 2" xfId="524"/>
    <cellStyle name="40% - Accent2 5 4" xfId="525"/>
    <cellStyle name="40% - Accent3 2" xfId="89"/>
    <cellStyle name="40% - Accent3 2 2" xfId="150"/>
    <cellStyle name="40% - Accent3 2 2 2" xfId="526"/>
    <cellStyle name="40% - Accent3 2 2 2 2" xfId="527"/>
    <cellStyle name="40% - Accent3 2 2 3" xfId="528"/>
    <cellStyle name="40% - Accent3 2 2 3 2" xfId="529"/>
    <cellStyle name="40% - Accent3 2 2 4" xfId="530"/>
    <cellStyle name="40% - Accent3 2 2 5" xfId="531"/>
    <cellStyle name="40% - Accent3 2 3" xfId="532"/>
    <cellStyle name="40% - Accent3 2 3 2" xfId="533"/>
    <cellStyle name="40% - Accent3 2 4" xfId="534"/>
    <cellStyle name="40% - Accent3 2 4 2" xfId="535"/>
    <cellStyle name="40% - Accent3 2 5" xfId="536"/>
    <cellStyle name="40% - Accent3 2 5 2" xfId="537"/>
    <cellStyle name="40% - Accent3 3" xfId="538"/>
    <cellStyle name="40% - Accent3 3 2" xfId="539"/>
    <cellStyle name="40% - Accent3 3 2 2" xfId="540"/>
    <cellStyle name="40% - Accent3 3 2 2 2" xfId="541"/>
    <cellStyle name="40% - Accent3 3 2 3" xfId="542"/>
    <cellStyle name="40% - Accent3 3 2 3 2" xfId="543"/>
    <cellStyle name="40% - Accent3 3 2 4" xfId="544"/>
    <cellStyle name="40% - Accent3 3 3" xfId="545"/>
    <cellStyle name="40% - Accent3 3 3 2" xfId="546"/>
    <cellStyle name="40% - Accent3 3 4" xfId="547"/>
    <cellStyle name="40% - Accent3 3 4 2" xfId="548"/>
    <cellStyle name="40% - Accent3 3 5" xfId="549"/>
    <cellStyle name="40% - Accent3 4" xfId="550"/>
    <cellStyle name="40% - Accent3 4 2" xfId="551"/>
    <cellStyle name="40% - Accent3 4 2 2" xfId="552"/>
    <cellStyle name="40% - Accent3 4 2 2 2" xfId="553"/>
    <cellStyle name="40% - Accent3 4 2 3" xfId="554"/>
    <cellStyle name="40% - Accent3 4 2 3 2" xfId="555"/>
    <cellStyle name="40% - Accent3 4 2 4" xfId="556"/>
    <cellStyle name="40% - Accent3 4 3" xfId="557"/>
    <cellStyle name="40% - Accent3 4 3 2" xfId="558"/>
    <cellStyle name="40% - Accent3 4 4" xfId="559"/>
    <cellStyle name="40% - Accent3 4 4 2" xfId="560"/>
    <cellStyle name="40% - Accent3 4 5" xfId="561"/>
    <cellStyle name="40% - Accent3 5" xfId="562"/>
    <cellStyle name="40% - Accent3 5 2" xfId="563"/>
    <cellStyle name="40% - Accent3 5 2 2" xfId="564"/>
    <cellStyle name="40% - Accent3 5 3" xfId="565"/>
    <cellStyle name="40% - Accent3 5 3 2" xfId="566"/>
    <cellStyle name="40% - Accent3 5 4" xfId="567"/>
    <cellStyle name="40% - Accent4 2" xfId="90"/>
    <cellStyle name="40% - Accent4 2 2" xfId="151"/>
    <cellStyle name="40% - Accent4 2 2 2" xfId="568"/>
    <cellStyle name="40% - Accent4 2 2 2 2" xfId="569"/>
    <cellStyle name="40% - Accent4 2 2 3" xfId="570"/>
    <cellStyle name="40% - Accent4 2 2 3 2" xfId="571"/>
    <cellStyle name="40% - Accent4 2 2 4" xfId="572"/>
    <cellStyle name="40% - Accent4 2 2 5" xfId="573"/>
    <cellStyle name="40% - Accent4 2 3" xfId="574"/>
    <cellStyle name="40% - Accent4 2 3 2" xfId="575"/>
    <cellStyle name="40% - Accent4 2 4" xfId="576"/>
    <cellStyle name="40% - Accent4 2 4 2" xfId="577"/>
    <cellStyle name="40% - Accent4 2 5" xfId="578"/>
    <cellStyle name="40% - Accent4 2 5 2" xfId="579"/>
    <cellStyle name="40% - Accent4 3" xfId="580"/>
    <cellStyle name="40% - Accent4 3 2" xfId="581"/>
    <cellStyle name="40% - Accent4 3 2 2" xfId="582"/>
    <cellStyle name="40% - Accent4 3 2 2 2" xfId="583"/>
    <cellStyle name="40% - Accent4 3 2 3" xfId="584"/>
    <cellStyle name="40% - Accent4 3 2 3 2" xfId="585"/>
    <cellStyle name="40% - Accent4 3 2 4" xfId="586"/>
    <cellStyle name="40% - Accent4 3 3" xfId="587"/>
    <cellStyle name="40% - Accent4 3 3 2" xfId="588"/>
    <cellStyle name="40% - Accent4 3 4" xfId="589"/>
    <cellStyle name="40% - Accent4 3 4 2" xfId="590"/>
    <cellStyle name="40% - Accent4 3 5" xfId="591"/>
    <cellStyle name="40% - Accent4 4" xfId="592"/>
    <cellStyle name="40% - Accent4 4 2" xfId="593"/>
    <cellStyle name="40% - Accent4 4 2 2" xfId="594"/>
    <cellStyle name="40% - Accent4 4 2 2 2" xfId="595"/>
    <cellStyle name="40% - Accent4 4 2 3" xfId="596"/>
    <cellStyle name="40% - Accent4 4 2 3 2" xfId="597"/>
    <cellStyle name="40% - Accent4 4 2 4" xfId="598"/>
    <cellStyle name="40% - Accent4 4 3" xfId="599"/>
    <cellStyle name="40% - Accent4 4 3 2" xfId="600"/>
    <cellStyle name="40% - Accent4 4 4" xfId="601"/>
    <cellStyle name="40% - Accent4 4 4 2" xfId="602"/>
    <cellStyle name="40% - Accent4 4 5" xfId="603"/>
    <cellStyle name="40% - Accent4 5" xfId="604"/>
    <cellStyle name="40% - Accent4 5 2" xfId="605"/>
    <cellStyle name="40% - Accent4 5 2 2" xfId="606"/>
    <cellStyle name="40% - Accent4 5 3" xfId="607"/>
    <cellStyle name="40% - Accent4 5 3 2" xfId="608"/>
    <cellStyle name="40% - Accent4 5 4" xfId="609"/>
    <cellStyle name="40% - Accent5 2" xfId="91"/>
    <cellStyle name="40% - Accent5 2 2" xfId="610"/>
    <cellStyle name="40% - Accent5 2 2 2" xfId="611"/>
    <cellStyle name="40% - Accent5 2 2 2 2" xfId="612"/>
    <cellStyle name="40% - Accent5 2 2 3" xfId="613"/>
    <cellStyle name="40% - Accent5 2 2 3 2" xfId="614"/>
    <cellStyle name="40% - Accent5 2 2 4" xfId="615"/>
    <cellStyle name="40% - Accent5 2 3" xfId="616"/>
    <cellStyle name="40% - Accent5 2 3 2" xfId="617"/>
    <cellStyle name="40% - Accent5 2 4" xfId="618"/>
    <cellStyle name="40% - Accent5 2 4 2" xfId="619"/>
    <cellStyle name="40% - Accent5 2 5" xfId="620"/>
    <cellStyle name="40% - Accent5 2 5 2" xfId="621"/>
    <cellStyle name="40% - Accent5 3" xfId="622"/>
    <cellStyle name="40% - Accent5 3 2" xfId="623"/>
    <cellStyle name="40% - Accent5 3 2 2" xfId="624"/>
    <cellStyle name="40% - Accent5 3 2 2 2" xfId="625"/>
    <cellStyle name="40% - Accent5 3 2 3" xfId="626"/>
    <cellStyle name="40% - Accent5 3 2 3 2" xfId="627"/>
    <cellStyle name="40% - Accent5 3 2 4" xfId="628"/>
    <cellStyle name="40% - Accent5 3 3" xfId="629"/>
    <cellStyle name="40% - Accent5 3 3 2" xfId="630"/>
    <cellStyle name="40% - Accent5 3 4" xfId="631"/>
    <cellStyle name="40% - Accent5 3 4 2" xfId="632"/>
    <cellStyle name="40% - Accent5 3 5" xfId="633"/>
    <cellStyle name="40% - Accent5 4" xfId="634"/>
    <cellStyle name="40% - Accent5 4 2" xfId="635"/>
    <cellStyle name="40% - Accent5 4 2 2" xfId="636"/>
    <cellStyle name="40% - Accent5 4 2 2 2" xfId="637"/>
    <cellStyle name="40% - Accent5 4 2 3" xfId="638"/>
    <cellStyle name="40% - Accent5 4 2 3 2" xfId="639"/>
    <cellStyle name="40% - Accent5 4 2 4" xfId="640"/>
    <cellStyle name="40% - Accent5 4 3" xfId="641"/>
    <cellStyle name="40% - Accent5 4 3 2" xfId="642"/>
    <cellStyle name="40% - Accent5 4 4" xfId="643"/>
    <cellStyle name="40% - Accent5 4 4 2" xfId="644"/>
    <cellStyle name="40% - Accent5 4 5" xfId="645"/>
    <cellStyle name="40% - Accent5 5" xfId="646"/>
    <cellStyle name="40% - Accent5 5 2" xfId="647"/>
    <cellStyle name="40% - Accent5 5 2 2" xfId="648"/>
    <cellStyle name="40% - Accent5 5 3" xfId="649"/>
    <cellStyle name="40% - Accent5 5 3 2" xfId="650"/>
    <cellStyle name="40% - Accent5 5 4" xfId="651"/>
    <cellStyle name="40% - Accent6 2" xfId="92"/>
    <cellStyle name="40% - Accent6 2 2" xfId="152"/>
    <cellStyle name="40% - Accent6 2 2 2" xfId="652"/>
    <cellStyle name="40% - Accent6 2 2 2 2" xfId="653"/>
    <cellStyle name="40% - Accent6 2 2 3" xfId="654"/>
    <cellStyle name="40% - Accent6 2 2 3 2" xfId="655"/>
    <cellStyle name="40% - Accent6 2 2 4" xfId="656"/>
    <cellStyle name="40% - Accent6 2 2 5" xfId="657"/>
    <cellStyle name="40% - Accent6 2 3" xfId="658"/>
    <cellStyle name="40% - Accent6 2 3 2" xfId="659"/>
    <cellStyle name="40% - Accent6 2 4" xfId="660"/>
    <cellStyle name="40% - Accent6 2 4 2" xfId="661"/>
    <cellStyle name="40% - Accent6 2 5" xfId="662"/>
    <cellStyle name="40% - Accent6 2 5 2" xfId="663"/>
    <cellStyle name="40% - Accent6 3" xfId="664"/>
    <cellStyle name="40% - Accent6 3 2" xfId="665"/>
    <cellStyle name="40% - Accent6 3 2 2" xfId="666"/>
    <cellStyle name="40% - Accent6 3 2 2 2" xfId="667"/>
    <cellStyle name="40% - Accent6 3 2 3" xfId="668"/>
    <cellStyle name="40% - Accent6 3 2 3 2" xfId="669"/>
    <cellStyle name="40% - Accent6 3 2 4" xfId="670"/>
    <cellStyle name="40% - Accent6 3 3" xfId="671"/>
    <cellStyle name="40% - Accent6 3 3 2" xfId="672"/>
    <cellStyle name="40% - Accent6 3 4" xfId="673"/>
    <cellStyle name="40% - Accent6 3 4 2" xfId="674"/>
    <cellStyle name="40% - Accent6 3 5" xfId="675"/>
    <cellStyle name="40% - Accent6 4" xfId="676"/>
    <cellStyle name="40% - Accent6 4 2" xfId="677"/>
    <cellStyle name="40% - Accent6 4 2 2" xfId="678"/>
    <cellStyle name="40% - Accent6 4 2 2 2" xfId="679"/>
    <cellStyle name="40% - Accent6 4 2 3" xfId="680"/>
    <cellStyle name="40% - Accent6 4 2 3 2" xfId="681"/>
    <cellStyle name="40% - Accent6 4 2 4" xfId="682"/>
    <cellStyle name="40% - Accent6 4 3" xfId="683"/>
    <cellStyle name="40% - Accent6 4 3 2" xfId="684"/>
    <cellStyle name="40% - Accent6 4 4" xfId="685"/>
    <cellStyle name="40% - Accent6 4 4 2" xfId="686"/>
    <cellStyle name="40% - Accent6 4 5" xfId="687"/>
    <cellStyle name="40% - Accent6 5" xfId="688"/>
    <cellStyle name="40% - Accent6 5 2" xfId="689"/>
    <cellStyle name="40% - Accent6 5 2 2" xfId="690"/>
    <cellStyle name="40% - Accent6 5 3" xfId="691"/>
    <cellStyle name="40% - Accent6 5 3 2" xfId="692"/>
    <cellStyle name="40% - Accent6 5 4" xfId="693"/>
    <cellStyle name="60% - Accent1 2" xfId="93"/>
    <cellStyle name="60% - Accent1 2 2" xfId="153"/>
    <cellStyle name="60% - Accent1 3" xfId="694"/>
    <cellStyle name="60% - Accent2 2" xfId="94"/>
    <cellStyle name="60% - Accent2 2 2" xfId="154"/>
    <cellStyle name="60% - Accent2 3" xfId="695"/>
    <cellStyle name="60% - Accent3 2" xfId="95"/>
    <cellStyle name="60% - Accent3 2 2" xfId="155"/>
    <cellStyle name="60% - Accent3 3" xfId="696"/>
    <cellStyle name="60% - Accent4 2" xfId="96"/>
    <cellStyle name="60% - Accent4 2 2" xfId="156"/>
    <cellStyle name="60% - Accent4 3" xfId="697"/>
    <cellStyle name="60% - Accent5 2" xfId="97"/>
    <cellStyle name="60% - Accent5 3" xfId="698"/>
    <cellStyle name="60% - Accent6 2" xfId="98"/>
    <cellStyle name="60% - Accent6 2 2" xfId="157"/>
    <cellStyle name="60% - Accent6 3" xfId="699"/>
    <cellStyle name="Accent1 - 20%" xfId="700"/>
    <cellStyle name="Accent1 - 40%" xfId="701"/>
    <cellStyle name="Accent1 - 60%" xfId="702"/>
    <cellStyle name="Accent1 2" xfId="99"/>
    <cellStyle name="Accent1 2 2" xfId="158"/>
    <cellStyle name="Accent1 3" xfId="703"/>
    <cellStyle name="Accent2 - 20%" xfId="704"/>
    <cellStyle name="Accent2 - 40%" xfId="705"/>
    <cellStyle name="Accent2 - 60%" xfId="706"/>
    <cellStyle name="Accent2 2" xfId="100"/>
    <cellStyle name="Accent2 3" xfId="707"/>
    <cellStyle name="Accent3 - 20%" xfId="708"/>
    <cellStyle name="Accent3 - 40%" xfId="709"/>
    <cellStyle name="Accent3 - 60%" xfId="710"/>
    <cellStyle name="Accent3 2" xfId="101"/>
    <cellStyle name="Accent3 2 2" xfId="159"/>
    <cellStyle name="Accent3 3" xfId="711"/>
    <cellStyle name="Accent4 - 20%" xfId="712"/>
    <cellStyle name="Accent4 - 40%" xfId="713"/>
    <cellStyle name="Accent4 - 60%" xfId="714"/>
    <cellStyle name="Accent4 2" xfId="102"/>
    <cellStyle name="Accent4 2 2" xfId="160"/>
    <cellStyle name="Accent4 3" xfId="715"/>
    <cellStyle name="Accent5 - 20%" xfId="716"/>
    <cellStyle name="Accent5 - 40%" xfId="717"/>
    <cellStyle name="Accent5 - 60%" xfId="718"/>
    <cellStyle name="Accent5 2" xfId="103"/>
    <cellStyle name="Accent5 3" xfId="719"/>
    <cellStyle name="Accent6 - 20%" xfId="720"/>
    <cellStyle name="Accent6 - 40%" xfId="721"/>
    <cellStyle name="Accent6 - 60%" xfId="722"/>
    <cellStyle name="Accent6 2" xfId="104"/>
    <cellStyle name="Accent6 3" xfId="723"/>
    <cellStyle name="Bad 2" xfId="105"/>
    <cellStyle name="Bad 2 2" xfId="161"/>
    <cellStyle name="Bad 3" xfId="724"/>
    <cellStyle name="Calculation 2" xfId="106"/>
    <cellStyle name="Calculation 2 2" xfId="162"/>
    <cellStyle name="Calculation 3" xfId="725"/>
    <cellStyle name="Calculation 4" xfId="1415"/>
    <cellStyle name="Check Cell 2" xfId="107"/>
    <cellStyle name="Check Cell 3" xfId="726"/>
    <cellStyle name="Comma" xfId="1413" builtinId="3"/>
    <cellStyle name="Comma [0] 2" xfId="727"/>
    <cellStyle name="Comma 10" xfId="728"/>
    <cellStyle name="Comma 11" xfId="729"/>
    <cellStyle name="Comma 12" xfId="730"/>
    <cellStyle name="Comma 2" xfId="1"/>
    <cellStyle name="Comma 2 2" xfId="27"/>
    <cellStyle name="Comma 2 2 2" xfId="108"/>
    <cellStyle name="Comma 2 2 2 2" xfId="731"/>
    <cellStyle name="Comma 2 2 3" xfId="67"/>
    <cellStyle name="Comma 2 2 3 2" xfId="732"/>
    <cellStyle name="Comma 2 2 3 2 2" xfId="733"/>
    <cellStyle name="Comma 2 2 3 2 2 2" xfId="734"/>
    <cellStyle name="Comma 2 2 3 2 3" xfId="735"/>
    <cellStyle name="Comma 2 2 3 2 3 2" xfId="736"/>
    <cellStyle name="Comma 2 2 3 2 4" xfId="737"/>
    <cellStyle name="Comma 2 2 3 3" xfId="738"/>
    <cellStyle name="Comma 2 2 3 3 2" xfId="739"/>
    <cellStyle name="Comma 2 2 3 4" xfId="740"/>
    <cellStyle name="Comma 2 2 3 4 2" xfId="741"/>
    <cellStyle name="Comma 2 2 3 5" xfId="742"/>
    <cellStyle name="Comma 2 2 3 6" xfId="743"/>
    <cellStyle name="Comma 2 2 4" xfId="744"/>
    <cellStyle name="Comma 2 2 4 2" xfId="745"/>
    <cellStyle name="Comma 2 2 4 2 2" xfId="746"/>
    <cellStyle name="Comma 2 2 4 2 2 2" xfId="747"/>
    <cellStyle name="Comma 2 2 4 2 3" xfId="748"/>
    <cellStyle name="Comma 2 2 4 2 3 2" xfId="749"/>
    <cellStyle name="Comma 2 2 4 2 4" xfId="750"/>
    <cellStyle name="Comma 2 2 4 3" xfId="751"/>
    <cellStyle name="Comma 2 2 4 3 2" xfId="752"/>
    <cellStyle name="Comma 2 2 4 4" xfId="753"/>
    <cellStyle name="Comma 2 2 4 4 2" xfId="754"/>
    <cellStyle name="Comma 2 2 4 5" xfId="755"/>
    <cellStyle name="Comma 2 2 5" xfId="756"/>
    <cellStyle name="Comma 2 2 5 2" xfId="757"/>
    <cellStyle name="Comma 2 2 5 2 2" xfId="758"/>
    <cellStyle name="Comma 2 2 5 2 2 2" xfId="759"/>
    <cellStyle name="Comma 2 2 5 2 3" xfId="760"/>
    <cellStyle name="Comma 2 2 5 2 3 2" xfId="761"/>
    <cellStyle name="Comma 2 2 5 2 4" xfId="762"/>
    <cellStyle name="Comma 2 2 5 3" xfId="763"/>
    <cellStyle name="Comma 2 2 5 3 2" xfId="764"/>
    <cellStyle name="Comma 2 2 5 4" xfId="765"/>
    <cellStyle name="Comma 2 2 5 4 2" xfId="766"/>
    <cellStyle name="Comma 2 2 5 5" xfId="767"/>
    <cellStyle name="Comma 2 2 6" xfId="768"/>
    <cellStyle name="Comma 2 2 6 2" xfId="769"/>
    <cellStyle name="Comma 2 2 6 2 2" xfId="770"/>
    <cellStyle name="Comma 2 2 6 2 2 2" xfId="771"/>
    <cellStyle name="Comma 2 2 6 2 3" xfId="772"/>
    <cellStyle name="Comma 2 2 6 2 3 2" xfId="773"/>
    <cellStyle name="Comma 2 2 6 2 4" xfId="774"/>
    <cellStyle name="Comma 2 2 6 3" xfId="775"/>
    <cellStyle name="Comma 2 2 6 3 2" xfId="776"/>
    <cellStyle name="Comma 2 2 6 4" xfId="777"/>
    <cellStyle name="Comma 2 2 6 4 2" xfId="778"/>
    <cellStyle name="Comma 2 2 6 5" xfId="779"/>
    <cellStyle name="Comma 2 2 7" xfId="780"/>
    <cellStyle name="Comma 2 2 7 2" xfId="781"/>
    <cellStyle name="Comma 2 2 7 2 2" xfId="782"/>
    <cellStyle name="Comma 2 2 7 3" xfId="783"/>
    <cellStyle name="Comma 2 2 7 3 2" xfId="784"/>
    <cellStyle name="Comma 2 2 7 4" xfId="785"/>
    <cellStyle name="Comma 2 2 8" xfId="786"/>
    <cellStyle name="Comma 2 2 9" xfId="787"/>
    <cellStyle name="Comma 2 3" xfId="109"/>
    <cellStyle name="Comma 2 3 2" xfId="788"/>
    <cellStyle name="Comma 2 4" xfId="56"/>
    <cellStyle name="Comma 2 4 2" xfId="1416"/>
    <cellStyle name="Comma 2 5" xfId="789"/>
    <cellStyle name="Comma 3" xfId="2"/>
    <cellStyle name="Comma 3 10" xfId="790"/>
    <cellStyle name="Comma 3 11" xfId="791"/>
    <cellStyle name="Comma 3 2" xfId="28"/>
    <cellStyle name="Comma 3 2 2" xfId="110"/>
    <cellStyle name="Comma 3 2 2 2" xfId="792"/>
    <cellStyle name="Comma 3 2 3" xfId="68"/>
    <cellStyle name="Comma 3 2 4" xfId="793"/>
    <cellStyle name="Comma 3 3" xfId="111"/>
    <cellStyle name="Comma 3 3 2" xfId="794"/>
    <cellStyle name="Comma 3 3 2 2" xfId="795"/>
    <cellStyle name="Comma 3 3 2 2 2" xfId="796"/>
    <cellStyle name="Comma 3 3 2 3" xfId="797"/>
    <cellStyle name="Comma 3 3 2 3 2" xfId="798"/>
    <cellStyle name="Comma 3 3 2 4" xfId="799"/>
    <cellStyle name="Comma 3 3 2 5" xfId="800"/>
    <cellStyle name="Comma 3 3 3" xfId="801"/>
    <cellStyle name="Comma 3 3 3 2" xfId="802"/>
    <cellStyle name="Comma 3 3 3 2 2" xfId="803"/>
    <cellStyle name="Comma 3 3 3 3" xfId="804"/>
    <cellStyle name="Comma 3 3 3 3 2" xfId="805"/>
    <cellStyle name="Comma 3 3 3 4" xfId="806"/>
    <cellStyle name="Comma 3 3 4" xfId="807"/>
    <cellStyle name="Comma 3 4" xfId="57"/>
    <cellStyle name="Comma 3 4 2" xfId="808"/>
    <cellStyle name="Comma 3 4 2 2" xfId="809"/>
    <cellStyle name="Comma 3 4 2 2 2" xfId="810"/>
    <cellStyle name="Comma 3 4 2 3" xfId="811"/>
    <cellStyle name="Comma 3 4 2 3 2" xfId="812"/>
    <cellStyle name="Comma 3 4 2 4" xfId="813"/>
    <cellStyle name="Comma 3 4 3" xfId="814"/>
    <cellStyle name="Comma 3 4 3 2" xfId="815"/>
    <cellStyle name="Comma 3 4 4" xfId="816"/>
    <cellStyle name="Comma 3 4 4 2" xfId="817"/>
    <cellStyle name="Comma 3 4 5" xfId="818"/>
    <cellStyle name="Comma 3 4 6" xfId="819"/>
    <cellStyle name="Comma 3 5" xfId="820"/>
    <cellStyle name="Comma 3 5 2" xfId="821"/>
    <cellStyle name="Comma 3 5 2 2" xfId="822"/>
    <cellStyle name="Comma 3 5 2 2 2" xfId="823"/>
    <cellStyle name="Comma 3 5 2 3" xfId="824"/>
    <cellStyle name="Comma 3 5 2 3 2" xfId="825"/>
    <cellStyle name="Comma 3 5 2 4" xfId="826"/>
    <cellStyle name="Comma 3 5 3" xfId="827"/>
    <cellStyle name="Comma 3 5 3 2" xfId="828"/>
    <cellStyle name="Comma 3 5 4" xfId="829"/>
    <cellStyle name="Comma 3 5 4 2" xfId="830"/>
    <cellStyle name="Comma 3 5 5" xfId="831"/>
    <cellStyle name="Comma 3 6" xfId="832"/>
    <cellStyle name="Comma 3 6 2" xfId="833"/>
    <cellStyle name="Comma 3 6 2 2" xfId="834"/>
    <cellStyle name="Comma 3 6 2 2 2" xfId="835"/>
    <cellStyle name="Comma 3 6 2 3" xfId="836"/>
    <cellStyle name="Comma 3 6 2 3 2" xfId="837"/>
    <cellStyle name="Comma 3 6 2 4" xfId="838"/>
    <cellStyle name="Comma 3 6 3" xfId="839"/>
    <cellStyle name="Comma 3 6 3 2" xfId="840"/>
    <cellStyle name="Comma 3 6 4" xfId="841"/>
    <cellStyle name="Comma 3 6 4 2" xfId="842"/>
    <cellStyle name="Comma 3 6 5" xfId="843"/>
    <cellStyle name="Comma 3 7" xfId="844"/>
    <cellStyle name="Comma 3 8" xfId="845"/>
    <cellStyle name="Comma 3 8 2" xfId="846"/>
    <cellStyle name="Comma 3 8 2 2" xfId="847"/>
    <cellStyle name="Comma 3 8 3" xfId="848"/>
    <cellStyle name="Comma 3 8 3 2" xfId="849"/>
    <cellStyle name="Comma 3 8 4" xfId="850"/>
    <cellStyle name="Comma 3 9" xfId="851"/>
    <cellStyle name="Comma 4" xfId="852"/>
    <cellStyle name="Comma 4 2" xfId="853"/>
    <cellStyle name="Comma 4 2 2" xfId="854"/>
    <cellStyle name="Comma 4 3" xfId="855"/>
    <cellStyle name="Comma 5" xfId="856"/>
    <cellStyle name="Comma 5 2" xfId="857"/>
    <cellStyle name="Comma 5 3" xfId="858"/>
    <cellStyle name="Comma 6" xfId="859"/>
    <cellStyle name="Comma 7" xfId="860"/>
    <cellStyle name="Comma 8" xfId="861"/>
    <cellStyle name="Comma 9" xfId="862"/>
    <cellStyle name="Currency" xfId="3" builtinId="4"/>
    <cellStyle name="Currency 2" xfId="4"/>
    <cellStyle name="Currency 2 2" xfId="29"/>
    <cellStyle name="Currency 2 2 2" xfId="112"/>
    <cellStyle name="Currency 2 2 2 2" xfId="863"/>
    <cellStyle name="Currency 2 2 3" xfId="69"/>
    <cellStyle name="Currency 2 2 4" xfId="864"/>
    <cellStyle name="Currency 2 3" xfId="113"/>
    <cellStyle name="Currency 2 3 2" xfId="865"/>
    <cellStyle name="Currency 2 4" xfId="58"/>
    <cellStyle name="Currency 2 5" xfId="866"/>
    <cellStyle name="Currency 2 6" xfId="1417"/>
    <cellStyle name="Currency 3" xfId="5"/>
    <cellStyle name="Currency 3 2" xfId="30"/>
    <cellStyle name="Currency 3 2 2" xfId="114"/>
    <cellStyle name="Currency 3 2 2 2" xfId="867"/>
    <cellStyle name="Currency 3 2 3" xfId="70"/>
    <cellStyle name="Currency 3 2 4" xfId="868"/>
    <cellStyle name="Currency 3 3" xfId="115"/>
    <cellStyle name="Currency 3 3 2" xfId="869"/>
    <cellStyle name="Currency 3 4" xfId="59"/>
    <cellStyle name="Currency 3 4 2" xfId="1418"/>
    <cellStyle name="Currency 3 5" xfId="870"/>
    <cellStyle name="Currency 3 6" xfId="871"/>
    <cellStyle name="Currency 4" xfId="872"/>
    <cellStyle name="Currency 4 2" xfId="873"/>
    <cellStyle name="Currency 4 3" xfId="874"/>
    <cellStyle name="Currency 5" xfId="875"/>
    <cellStyle name="Currency 5 2" xfId="876"/>
    <cellStyle name="Currency 5 2 2" xfId="877"/>
    <cellStyle name="Currency 5 2 2 2" xfId="878"/>
    <cellStyle name="Currency 5 2 3" xfId="879"/>
    <cellStyle name="Currency 5 2 3 2" xfId="880"/>
    <cellStyle name="Currency 5 2 4" xfId="881"/>
    <cellStyle name="Currency 5 2 5" xfId="882"/>
    <cellStyle name="Currency 5 3" xfId="883"/>
    <cellStyle name="Currency 5 3 2" xfId="884"/>
    <cellStyle name="Currency 5 4" xfId="885"/>
    <cellStyle name="Currency 5 4 2" xfId="886"/>
    <cellStyle name="Currency 5 5" xfId="887"/>
    <cellStyle name="Currency 5 6" xfId="888"/>
    <cellStyle name="Currency 6" xfId="889"/>
    <cellStyle name="Currency 6 2" xfId="890"/>
    <cellStyle name="Currency 7" xfId="891"/>
    <cellStyle name="Currency 7 2" xfId="892"/>
    <cellStyle name="Currency 8" xfId="893"/>
    <cellStyle name="Data Field" xfId="6"/>
    <cellStyle name="Data Field 2" xfId="31"/>
    <cellStyle name="Data Field 2 2" xfId="116"/>
    <cellStyle name="Data Field 2 2 2" xfId="894"/>
    <cellStyle name="Data Field 2 3" xfId="71"/>
    <cellStyle name="Data Field 2 4" xfId="895"/>
    <cellStyle name="Data Field 3" xfId="117"/>
    <cellStyle name="Data Field 3 2" xfId="896"/>
    <cellStyle name="Data Field 4" xfId="60"/>
    <cellStyle name="Data Field 4 2" xfId="1419"/>
    <cellStyle name="Data Field 5" xfId="897"/>
    <cellStyle name="Data Field 6" xfId="898"/>
    <cellStyle name="Data Name" xfId="7"/>
    <cellStyle name="Data Name 2" xfId="899"/>
    <cellStyle name="Data Name 2 2" xfId="900"/>
    <cellStyle name="Data Name 2 3" xfId="1420"/>
    <cellStyle name="Data Name 3" xfId="901"/>
    <cellStyle name="Data Name 4" xfId="902"/>
    <cellStyle name="Date/Time" xfId="8"/>
    <cellStyle name="Emphasis 1" xfId="903"/>
    <cellStyle name="Emphasis 2" xfId="904"/>
    <cellStyle name="Emphasis 3" xfId="905"/>
    <cellStyle name="Explanatory Text 2" xfId="118"/>
    <cellStyle name="Explanatory Text 3" xfId="906"/>
    <cellStyle name="Good 2" xfId="119"/>
    <cellStyle name="Good 3" xfId="907"/>
    <cellStyle name="Heading" xfId="9"/>
    <cellStyle name="Heading 1 2" xfId="120"/>
    <cellStyle name="Heading 1 2 2" xfId="163"/>
    <cellStyle name="Heading 1 3" xfId="908"/>
    <cellStyle name="Heading 2" xfId="10" builtinId="17" customBuiltin="1"/>
    <cellStyle name="Heading 2 2" xfId="909"/>
    <cellStyle name="Heading 2 2 2" xfId="910"/>
    <cellStyle name="Heading 2 3" xfId="911"/>
    <cellStyle name="Heading 2 3 2" xfId="912"/>
    <cellStyle name="Heading 2 4" xfId="1421"/>
    <cellStyle name="Heading 3 2" xfId="121"/>
    <cellStyle name="Heading 3 2 2" xfId="164"/>
    <cellStyle name="Heading 3 3" xfId="913"/>
    <cellStyle name="Heading 4 2" xfId="122"/>
    <cellStyle name="Heading 4 2 2" xfId="165"/>
    <cellStyle name="Heading 4 3" xfId="914"/>
    <cellStyle name="Hyperlink 2" xfId="11"/>
    <cellStyle name="Hyperlink 2 2" xfId="915"/>
    <cellStyle name="Hyperlink 2 2 2" xfId="916"/>
    <cellStyle name="Hyperlink 2 3" xfId="1422"/>
    <cellStyle name="Hyperlink 2_ResWXMF_FY10v2_0" xfId="917"/>
    <cellStyle name="Hyperlink 3" xfId="80"/>
    <cellStyle name="Hyperlink 3 2" xfId="918"/>
    <cellStyle name="Hyperlink 3 2 2" xfId="919"/>
    <cellStyle name="Hyperlink 3 3" xfId="920"/>
    <cellStyle name="Hyperlink 4" xfId="921"/>
    <cellStyle name="Hyperlink 4 2" xfId="922"/>
    <cellStyle name="Hyperlink 4 2 2" xfId="923"/>
    <cellStyle name="Hyperlink 4 3" xfId="924"/>
    <cellStyle name="Hyperlink 4 4" xfId="925"/>
    <cellStyle name="Hyperlink 4 5" xfId="926"/>
    <cellStyle name="Hyperlink 5" xfId="927"/>
    <cellStyle name="Hyperlink 6" xfId="928"/>
    <cellStyle name="Hyperlink 7" xfId="929"/>
    <cellStyle name="Hyperlink 8" xfId="930"/>
    <cellStyle name="Input 2" xfId="123"/>
    <cellStyle name="Input 3" xfId="931"/>
    <cellStyle name="Linked Cell 2" xfId="124"/>
    <cellStyle name="Linked Cell 3" xfId="932"/>
    <cellStyle name="Neutral 2" xfId="125"/>
    <cellStyle name="Neutral 3" xfId="933"/>
    <cellStyle name="Normal" xfId="0" builtinId="0"/>
    <cellStyle name="Normal 10" xfId="32"/>
    <cellStyle name="Normal 10 2" xfId="934"/>
    <cellStyle name="Normal 10 2 2" xfId="935"/>
    <cellStyle name="Normal 10 3" xfId="1423"/>
    <cellStyle name="Normal 10 3 2" xfId="1424"/>
    <cellStyle name="Normal 10 4" xfId="1425"/>
    <cellStyle name="Normal 10 5" xfId="1426"/>
    <cellStyle name="Normal 11" xfId="33"/>
    <cellStyle name="Normal 11 2" xfId="936"/>
    <cellStyle name="Normal 12" xfId="34"/>
    <cellStyle name="Normal 12 2" xfId="937"/>
    <cellStyle name="Normal 13" xfId="78"/>
    <cellStyle name="Normal 13 2" xfId="79"/>
    <cellStyle name="Normal 13 2 2" xfId="938"/>
    <cellStyle name="Normal 13 2 2 2" xfId="939"/>
    <cellStyle name="Normal 13 3" xfId="940"/>
    <cellStyle name="Normal 13 3 2" xfId="941"/>
    <cellStyle name="Normal 14" xfId="143"/>
    <cellStyle name="Normal 14 2" xfId="166"/>
    <cellStyle name="Normal 14 2 2" xfId="942"/>
    <cellStyle name="Normal 14 2 2 2" xfId="943"/>
    <cellStyle name="Normal 14 2 3" xfId="944"/>
    <cellStyle name="Normal 14 2 3 2" xfId="945"/>
    <cellStyle name="Normal 14 2 4" xfId="946"/>
    <cellStyle name="Normal 14 2 5" xfId="947"/>
    <cellStyle name="Normal 14 3" xfId="178"/>
    <cellStyle name="Normal 14 3 2" xfId="948"/>
    <cellStyle name="Normal 14 4" xfId="185"/>
    <cellStyle name="Normal 14 4 2" xfId="949"/>
    <cellStyle name="Normal 14 5" xfId="950"/>
    <cellStyle name="Normal 15" xfId="144"/>
    <cellStyle name="Normal 15 2" xfId="179"/>
    <cellStyle name="Normal 15 2 2" xfId="951"/>
    <cellStyle name="Normal 15 2 2 2" xfId="952"/>
    <cellStyle name="Normal 15 2 3" xfId="953"/>
    <cellStyle name="Normal 15 2 3 2" xfId="954"/>
    <cellStyle name="Normal 15 2 4" xfId="955"/>
    <cellStyle name="Normal 15 2 5" xfId="956"/>
    <cellStyle name="Normal 15 3" xfId="186"/>
    <cellStyle name="Normal 15 3 2" xfId="957"/>
    <cellStyle name="Normal 15 4" xfId="958"/>
    <cellStyle name="Normal 15 4 2" xfId="959"/>
    <cellStyle name="Normal 15 5" xfId="960"/>
    <cellStyle name="Normal 15 5 2" xfId="961"/>
    <cellStyle name="Normal 15 6" xfId="962"/>
    <cellStyle name="Normal 15 7" xfId="963"/>
    <cellStyle name="Normal 16" xfId="55"/>
    <cellStyle name="Normal 16 2" xfId="964"/>
    <cellStyle name="Normal 16 2 2" xfId="965"/>
    <cellStyle name="Normal 16 3" xfId="966"/>
    <cellStyle name="Normal 16 4" xfId="967"/>
    <cellStyle name="Normal 17" xfId="189"/>
    <cellStyle name="Normal 17 2" xfId="968"/>
    <cellStyle name="Normal 17 3" xfId="969"/>
    <cellStyle name="Normal 17 4" xfId="970"/>
    <cellStyle name="Normal 18" xfId="971"/>
    <cellStyle name="Normal 18 2" xfId="972"/>
    <cellStyle name="Normal 19" xfId="973"/>
    <cellStyle name="Normal 19 2" xfId="1427"/>
    <cellStyle name="Normal 2" xfId="12"/>
    <cellStyle name="Normal 2 10" xfId="974"/>
    <cellStyle name="Normal 2 10 10" xfId="1428"/>
    <cellStyle name="Normal 2 10 10 2" xfId="1429"/>
    <cellStyle name="Normal 2 10 10 2 2" xfId="1430"/>
    <cellStyle name="Normal 2 10 10 3" xfId="1431"/>
    <cellStyle name="Normal 2 10 11" xfId="1432"/>
    <cellStyle name="Normal 2 10 11 2" xfId="1433"/>
    <cellStyle name="Normal 2 10 11 2 2" xfId="1434"/>
    <cellStyle name="Normal 2 10 11 3" xfId="1435"/>
    <cellStyle name="Normal 2 10 12" xfId="1436"/>
    <cellStyle name="Normal 2 10 12 2" xfId="1437"/>
    <cellStyle name="Normal 2 10 12 2 2" xfId="1438"/>
    <cellStyle name="Normal 2 10 12 3" xfId="1439"/>
    <cellStyle name="Normal 2 10 13" xfId="1440"/>
    <cellStyle name="Normal 2 10 13 2" xfId="1441"/>
    <cellStyle name="Normal 2 10 13 2 2" xfId="1442"/>
    <cellStyle name="Normal 2 10 13 3" xfId="1443"/>
    <cellStyle name="Normal 2 10 14" xfId="1444"/>
    <cellStyle name="Normal 2 10 14 2" xfId="1445"/>
    <cellStyle name="Normal 2 10 14 2 2" xfId="1446"/>
    <cellStyle name="Normal 2 10 14 3" xfId="1447"/>
    <cellStyle name="Normal 2 10 15" xfId="1448"/>
    <cellStyle name="Normal 2 10 15 2" xfId="1449"/>
    <cellStyle name="Normal 2 10 15 2 2" xfId="1450"/>
    <cellStyle name="Normal 2 10 15 3" xfId="1451"/>
    <cellStyle name="Normal 2 10 16" xfId="1452"/>
    <cellStyle name="Normal 2 10 16 2" xfId="1453"/>
    <cellStyle name="Normal 2 10 16 2 2" xfId="1454"/>
    <cellStyle name="Normal 2 10 16 3" xfId="1455"/>
    <cellStyle name="Normal 2 10 17" xfId="1456"/>
    <cellStyle name="Normal 2 10 17 2" xfId="1457"/>
    <cellStyle name="Normal 2 10 17 2 2" xfId="1458"/>
    <cellStyle name="Normal 2 10 17 3" xfId="1459"/>
    <cellStyle name="Normal 2 10 18" xfId="1460"/>
    <cellStyle name="Normal 2 10 18 2" xfId="1461"/>
    <cellStyle name="Normal 2 10 18 2 2" xfId="1462"/>
    <cellStyle name="Normal 2 10 18 3" xfId="1463"/>
    <cellStyle name="Normal 2 10 19" xfId="1464"/>
    <cellStyle name="Normal 2 10 19 2" xfId="1465"/>
    <cellStyle name="Normal 2 10 19 2 2" xfId="1466"/>
    <cellStyle name="Normal 2 10 19 3" xfId="1467"/>
    <cellStyle name="Normal 2 10 2" xfId="975"/>
    <cellStyle name="Normal 2 10 2 2" xfId="976"/>
    <cellStyle name="Normal 2 10 2 2 2" xfId="1468"/>
    <cellStyle name="Normal 2 10 2 3" xfId="1469"/>
    <cellStyle name="Normal 2 10 20" xfId="1470"/>
    <cellStyle name="Normal 2 10 20 2" xfId="1471"/>
    <cellStyle name="Normal 2 10 20 2 2" xfId="1472"/>
    <cellStyle name="Normal 2 10 20 3" xfId="1473"/>
    <cellStyle name="Normal 2 10 21" xfId="1474"/>
    <cellStyle name="Normal 2 10 21 2" xfId="1475"/>
    <cellStyle name="Normal 2 10 21 2 2" xfId="1476"/>
    <cellStyle name="Normal 2 10 21 3" xfId="1477"/>
    <cellStyle name="Normal 2 10 22" xfId="1478"/>
    <cellStyle name="Normal 2 10 22 2" xfId="1479"/>
    <cellStyle name="Normal 2 10 22 2 2" xfId="1480"/>
    <cellStyle name="Normal 2 10 22 3" xfId="1481"/>
    <cellStyle name="Normal 2 10 23" xfId="1482"/>
    <cellStyle name="Normal 2 10 23 2" xfId="1483"/>
    <cellStyle name="Normal 2 10 23 2 2" xfId="1484"/>
    <cellStyle name="Normal 2 10 23 3" xfId="1485"/>
    <cellStyle name="Normal 2 10 24" xfId="1486"/>
    <cellStyle name="Normal 2 10 24 2" xfId="1487"/>
    <cellStyle name="Normal 2 10 25" xfId="1488"/>
    <cellStyle name="Normal 2 10 3" xfId="977"/>
    <cellStyle name="Normal 2 10 3 2" xfId="978"/>
    <cellStyle name="Normal 2 10 3 2 2" xfId="1489"/>
    <cellStyle name="Normal 2 10 3 3" xfId="1490"/>
    <cellStyle name="Normal 2 10 4" xfId="979"/>
    <cellStyle name="Normal 2 10 4 2" xfId="1491"/>
    <cellStyle name="Normal 2 10 4 2 2" xfId="1492"/>
    <cellStyle name="Normal 2 10 4 3" xfId="1493"/>
    <cellStyle name="Normal 2 10 5" xfId="1494"/>
    <cellStyle name="Normal 2 10 5 2" xfId="1495"/>
    <cellStyle name="Normal 2 10 5 2 2" xfId="1496"/>
    <cellStyle name="Normal 2 10 5 3" xfId="1497"/>
    <cellStyle name="Normal 2 10 6" xfId="1498"/>
    <cellStyle name="Normal 2 10 6 2" xfId="1499"/>
    <cellStyle name="Normal 2 10 6 2 2" xfId="1500"/>
    <cellStyle name="Normal 2 10 6 3" xfId="1501"/>
    <cellStyle name="Normal 2 10 7" xfId="1502"/>
    <cellStyle name="Normal 2 10 7 2" xfId="1503"/>
    <cellStyle name="Normal 2 10 7 2 2" xfId="1504"/>
    <cellStyle name="Normal 2 10 7 3" xfId="1505"/>
    <cellStyle name="Normal 2 10 8" xfId="1506"/>
    <cellStyle name="Normal 2 10 8 2" xfId="1507"/>
    <cellStyle name="Normal 2 10 8 2 2" xfId="1508"/>
    <cellStyle name="Normal 2 10 8 3" xfId="1509"/>
    <cellStyle name="Normal 2 10 9" xfId="1510"/>
    <cellStyle name="Normal 2 10 9 2" xfId="1511"/>
    <cellStyle name="Normal 2 10 9 2 2" xfId="1512"/>
    <cellStyle name="Normal 2 10 9 3" xfId="1513"/>
    <cellStyle name="Normal 2 100" xfId="1514"/>
    <cellStyle name="Normal 2 100 2" xfId="1515"/>
    <cellStyle name="Normal 2 100 3" xfId="1516"/>
    <cellStyle name="Normal 2 101" xfId="1517"/>
    <cellStyle name="Normal 2 101 2" xfId="1518"/>
    <cellStyle name="Normal 2 101 3" xfId="1519"/>
    <cellStyle name="Normal 2 102" xfId="1520"/>
    <cellStyle name="Normal 2 103" xfId="1521"/>
    <cellStyle name="Normal 2 104" xfId="1522"/>
    <cellStyle name="Normal 2 105" xfId="1523"/>
    <cellStyle name="Normal 2 106" xfId="1524"/>
    <cellStyle name="Normal 2 107" xfId="1525"/>
    <cellStyle name="Normal 2 108" xfId="1526"/>
    <cellStyle name="Normal 2 109" xfId="1527"/>
    <cellStyle name="Normal 2 11" xfId="980"/>
    <cellStyle name="Normal 2 11 10" xfId="1528"/>
    <cellStyle name="Normal 2 11 10 2" xfId="1529"/>
    <cellStyle name="Normal 2 11 10 2 2" xfId="1530"/>
    <cellStyle name="Normal 2 11 10 3" xfId="1531"/>
    <cellStyle name="Normal 2 11 11" xfId="1532"/>
    <cellStyle name="Normal 2 11 11 2" xfId="1533"/>
    <cellStyle name="Normal 2 11 11 2 2" xfId="1534"/>
    <cellStyle name="Normal 2 11 11 3" xfId="1535"/>
    <cellStyle name="Normal 2 11 12" xfId="1536"/>
    <cellStyle name="Normal 2 11 12 2" xfId="1537"/>
    <cellStyle name="Normal 2 11 12 2 2" xfId="1538"/>
    <cellStyle name="Normal 2 11 12 3" xfId="1539"/>
    <cellStyle name="Normal 2 11 13" xfId="1540"/>
    <cellStyle name="Normal 2 11 13 2" xfId="1541"/>
    <cellStyle name="Normal 2 11 13 2 2" xfId="1542"/>
    <cellStyle name="Normal 2 11 13 3" xfId="1543"/>
    <cellStyle name="Normal 2 11 14" xfId="1544"/>
    <cellStyle name="Normal 2 11 14 2" xfId="1545"/>
    <cellStyle name="Normal 2 11 14 2 2" xfId="1546"/>
    <cellStyle name="Normal 2 11 14 3" xfId="1547"/>
    <cellStyle name="Normal 2 11 15" xfId="1548"/>
    <cellStyle name="Normal 2 11 15 2" xfId="1549"/>
    <cellStyle name="Normal 2 11 15 2 2" xfId="1550"/>
    <cellStyle name="Normal 2 11 15 3" xfId="1551"/>
    <cellStyle name="Normal 2 11 16" xfId="1552"/>
    <cellStyle name="Normal 2 11 16 2" xfId="1553"/>
    <cellStyle name="Normal 2 11 16 2 2" xfId="1554"/>
    <cellStyle name="Normal 2 11 16 3" xfId="1555"/>
    <cellStyle name="Normal 2 11 17" xfId="1556"/>
    <cellStyle name="Normal 2 11 17 2" xfId="1557"/>
    <cellStyle name="Normal 2 11 17 2 2" xfId="1558"/>
    <cellStyle name="Normal 2 11 17 3" xfId="1559"/>
    <cellStyle name="Normal 2 11 18" xfId="1560"/>
    <cellStyle name="Normal 2 11 18 2" xfId="1561"/>
    <cellStyle name="Normal 2 11 18 2 2" xfId="1562"/>
    <cellStyle name="Normal 2 11 18 3" xfId="1563"/>
    <cellStyle name="Normal 2 11 19" xfId="1564"/>
    <cellStyle name="Normal 2 11 19 2" xfId="1565"/>
    <cellStyle name="Normal 2 11 19 2 2" xfId="1566"/>
    <cellStyle name="Normal 2 11 19 3" xfId="1567"/>
    <cellStyle name="Normal 2 11 2" xfId="1568"/>
    <cellStyle name="Normal 2 11 2 2" xfId="1569"/>
    <cellStyle name="Normal 2 11 2 2 2" xfId="1570"/>
    <cellStyle name="Normal 2 11 2 3" xfId="1571"/>
    <cellStyle name="Normal 2 11 20" xfId="1572"/>
    <cellStyle name="Normal 2 11 20 2" xfId="1573"/>
    <cellStyle name="Normal 2 11 20 2 2" xfId="1574"/>
    <cellStyle name="Normal 2 11 20 3" xfId="1575"/>
    <cellStyle name="Normal 2 11 21" xfId="1576"/>
    <cellStyle name="Normal 2 11 21 2" xfId="1577"/>
    <cellStyle name="Normal 2 11 21 2 2" xfId="1578"/>
    <cellStyle name="Normal 2 11 21 3" xfId="1579"/>
    <cellStyle name="Normal 2 11 22" xfId="1580"/>
    <cellStyle name="Normal 2 11 22 2" xfId="1581"/>
    <cellStyle name="Normal 2 11 22 2 2" xfId="1582"/>
    <cellStyle name="Normal 2 11 22 3" xfId="1583"/>
    <cellStyle name="Normal 2 11 23" xfId="1584"/>
    <cellStyle name="Normal 2 11 23 2" xfId="1585"/>
    <cellStyle name="Normal 2 11 23 2 2" xfId="1586"/>
    <cellStyle name="Normal 2 11 23 3" xfId="1587"/>
    <cellStyle name="Normal 2 11 24" xfId="1588"/>
    <cellStyle name="Normal 2 11 24 2" xfId="1589"/>
    <cellStyle name="Normal 2 11 25" xfId="1590"/>
    <cellStyle name="Normal 2 11 3" xfId="1591"/>
    <cellStyle name="Normal 2 11 3 2" xfId="1592"/>
    <cellStyle name="Normal 2 11 3 2 2" xfId="1593"/>
    <cellStyle name="Normal 2 11 3 3" xfId="1594"/>
    <cellStyle name="Normal 2 11 4" xfId="1595"/>
    <cellStyle name="Normal 2 11 4 2" xfId="1596"/>
    <cellStyle name="Normal 2 11 4 2 2" xfId="1597"/>
    <cellStyle name="Normal 2 11 4 3" xfId="1598"/>
    <cellStyle name="Normal 2 11 5" xfId="1599"/>
    <cellStyle name="Normal 2 11 5 2" xfId="1600"/>
    <cellStyle name="Normal 2 11 5 2 2" xfId="1601"/>
    <cellStyle name="Normal 2 11 5 3" xfId="1602"/>
    <cellStyle name="Normal 2 11 6" xfId="1603"/>
    <cellStyle name="Normal 2 11 6 2" xfId="1604"/>
    <cellStyle name="Normal 2 11 6 2 2" xfId="1605"/>
    <cellStyle name="Normal 2 11 6 3" xfId="1606"/>
    <cellStyle name="Normal 2 11 7" xfId="1607"/>
    <cellStyle name="Normal 2 11 7 2" xfId="1608"/>
    <cellStyle name="Normal 2 11 7 2 2" xfId="1609"/>
    <cellStyle name="Normal 2 11 7 3" xfId="1610"/>
    <cellStyle name="Normal 2 11 8" xfId="1611"/>
    <cellStyle name="Normal 2 11 8 2" xfId="1612"/>
    <cellStyle name="Normal 2 11 8 2 2" xfId="1613"/>
    <cellStyle name="Normal 2 11 8 3" xfId="1614"/>
    <cellStyle name="Normal 2 11 9" xfId="1615"/>
    <cellStyle name="Normal 2 11 9 2" xfId="1616"/>
    <cellStyle name="Normal 2 11 9 2 2" xfId="1617"/>
    <cellStyle name="Normal 2 11 9 3" xfId="1618"/>
    <cellStyle name="Normal 2 12" xfId="981"/>
    <cellStyle name="Normal 2 12 10" xfId="1619"/>
    <cellStyle name="Normal 2 12 10 2" xfId="1620"/>
    <cellStyle name="Normal 2 12 10 2 2" xfId="1621"/>
    <cellStyle name="Normal 2 12 10 3" xfId="1622"/>
    <cellStyle name="Normal 2 12 11" xfId="1623"/>
    <cellStyle name="Normal 2 12 11 2" xfId="1624"/>
    <cellStyle name="Normal 2 12 11 2 2" xfId="1625"/>
    <cellStyle name="Normal 2 12 11 3" xfId="1626"/>
    <cellStyle name="Normal 2 12 12" xfId="1627"/>
    <cellStyle name="Normal 2 12 12 2" xfId="1628"/>
    <cellStyle name="Normal 2 12 12 2 2" xfId="1629"/>
    <cellStyle name="Normal 2 12 12 3" xfId="1630"/>
    <cellStyle name="Normal 2 12 13" xfId="1631"/>
    <cellStyle name="Normal 2 12 13 2" xfId="1632"/>
    <cellStyle name="Normal 2 12 13 2 2" xfId="1633"/>
    <cellStyle name="Normal 2 12 13 3" xfId="1634"/>
    <cellStyle name="Normal 2 12 14" xfId="1635"/>
    <cellStyle name="Normal 2 12 14 2" xfId="1636"/>
    <cellStyle name="Normal 2 12 14 2 2" xfId="1637"/>
    <cellStyle name="Normal 2 12 14 3" xfId="1638"/>
    <cellStyle name="Normal 2 12 15" xfId="1639"/>
    <cellStyle name="Normal 2 12 15 2" xfId="1640"/>
    <cellStyle name="Normal 2 12 15 2 2" xfId="1641"/>
    <cellStyle name="Normal 2 12 15 3" xfId="1642"/>
    <cellStyle name="Normal 2 12 16" xfId="1643"/>
    <cellStyle name="Normal 2 12 16 2" xfId="1644"/>
    <cellStyle name="Normal 2 12 16 2 2" xfId="1645"/>
    <cellStyle name="Normal 2 12 16 3" xfId="1646"/>
    <cellStyle name="Normal 2 12 17" xfId="1647"/>
    <cellStyle name="Normal 2 12 17 2" xfId="1648"/>
    <cellStyle name="Normal 2 12 17 2 2" xfId="1649"/>
    <cellStyle name="Normal 2 12 17 3" xfId="1650"/>
    <cellStyle name="Normal 2 12 18" xfId="1651"/>
    <cellStyle name="Normal 2 12 18 2" xfId="1652"/>
    <cellStyle name="Normal 2 12 18 2 2" xfId="1653"/>
    <cellStyle name="Normal 2 12 18 3" xfId="1654"/>
    <cellStyle name="Normal 2 12 19" xfId="1655"/>
    <cellStyle name="Normal 2 12 19 2" xfId="1656"/>
    <cellStyle name="Normal 2 12 19 2 2" xfId="1657"/>
    <cellStyle name="Normal 2 12 19 3" xfId="1658"/>
    <cellStyle name="Normal 2 12 2" xfId="982"/>
    <cellStyle name="Normal 2 12 2 2" xfId="983"/>
    <cellStyle name="Normal 2 12 2 2 2" xfId="1659"/>
    <cellStyle name="Normal 2 12 2 3" xfId="1660"/>
    <cellStyle name="Normal 2 12 20" xfId="1661"/>
    <cellStyle name="Normal 2 12 20 2" xfId="1662"/>
    <cellStyle name="Normal 2 12 20 2 2" xfId="1663"/>
    <cellStyle name="Normal 2 12 20 3" xfId="1664"/>
    <cellStyle name="Normal 2 12 21" xfId="1665"/>
    <cellStyle name="Normal 2 12 21 2" xfId="1666"/>
    <cellStyle name="Normal 2 12 21 2 2" xfId="1667"/>
    <cellStyle name="Normal 2 12 21 3" xfId="1668"/>
    <cellStyle name="Normal 2 12 22" xfId="1669"/>
    <cellStyle name="Normal 2 12 22 2" xfId="1670"/>
    <cellStyle name="Normal 2 12 22 2 2" xfId="1671"/>
    <cellStyle name="Normal 2 12 22 3" xfId="1672"/>
    <cellStyle name="Normal 2 12 23" xfId="1673"/>
    <cellStyle name="Normal 2 12 23 2" xfId="1674"/>
    <cellStyle name="Normal 2 12 23 2 2" xfId="1675"/>
    <cellStyle name="Normal 2 12 23 3" xfId="1676"/>
    <cellStyle name="Normal 2 12 24" xfId="1677"/>
    <cellStyle name="Normal 2 12 24 2" xfId="1678"/>
    <cellStyle name="Normal 2 12 25" xfId="1679"/>
    <cellStyle name="Normal 2 12 3" xfId="984"/>
    <cellStyle name="Normal 2 12 3 2" xfId="985"/>
    <cellStyle name="Normal 2 12 3 2 2" xfId="1680"/>
    <cellStyle name="Normal 2 12 3 3" xfId="1681"/>
    <cellStyle name="Normal 2 12 4" xfId="986"/>
    <cellStyle name="Normal 2 12 4 2" xfId="1682"/>
    <cellStyle name="Normal 2 12 4 2 2" xfId="1683"/>
    <cellStyle name="Normal 2 12 4 3" xfId="1684"/>
    <cellStyle name="Normal 2 12 5" xfId="1685"/>
    <cellStyle name="Normal 2 12 5 2" xfId="1686"/>
    <cellStyle name="Normal 2 12 5 2 2" xfId="1687"/>
    <cellStyle name="Normal 2 12 5 3" xfId="1688"/>
    <cellStyle name="Normal 2 12 6" xfId="1689"/>
    <cellStyle name="Normal 2 12 6 2" xfId="1690"/>
    <cellStyle name="Normal 2 12 6 2 2" xfId="1691"/>
    <cellStyle name="Normal 2 12 6 3" xfId="1692"/>
    <cellStyle name="Normal 2 12 7" xfId="1693"/>
    <cellStyle name="Normal 2 12 7 2" xfId="1694"/>
    <cellStyle name="Normal 2 12 7 2 2" xfId="1695"/>
    <cellStyle name="Normal 2 12 7 3" xfId="1696"/>
    <cellStyle name="Normal 2 12 8" xfId="1697"/>
    <cellStyle name="Normal 2 12 8 2" xfId="1698"/>
    <cellStyle name="Normal 2 12 8 2 2" xfId="1699"/>
    <cellStyle name="Normal 2 12 8 3" xfId="1700"/>
    <cellStyle name="Normal 2 12 9" xfId="1701"/>
    <cellStyle name="Normal 2 12 9 2" xfId="1702"/>
    <cellStyle name="Normal 2 12 9 2 2" xfId="1703"/>
    <cellStyle name="Normal 2 12 9 3" xfId="1704"/>
    <cellStyle name="Normal 2 13" xfId="1705"/>
    <cellStyle name="Normal 2 13 10" xfId="1706"/>
    <cellStyle name="Normal 2 13 10 2" xfId="1707"/>
    <cellStyle name="Normal 2 13 10 2 2" xfId="1708"/>
    <cellStyle name="Normal 2 13 10 3" xfId="1709"/>
    <cellStyle name="Normal 2 13 11" xfId="1710"/>
    <cellStyle name="Normal 2 13 11 2" xfId="1711"/>
    <cellStyle name="Normal 2 13 11 2 2" xfId="1712"/>
    <cellStyle name="Normal 2 13 11 3" xfId="1713"/>
    <cellStyle name="Normal 2 13 12" xfId="1714"/>
    <cellStyle name="Normal 2 13 12 2" xfId="1715"/>
    <cellStyle name="Normal 2 13 12 2 2" xfId="1716"/>
    <cellStyle name="Normal 2 13 12 3" xfId="1717"/>
    <cellStyle name="Normal 2 13 13" xfId="1718"/>
    <cellStyle name="Normal 2 13 13 2" xfId="1719"/>
    <cellStyle name="Normal 2 13 13 2 2" xfId="1720"/>
    <cellStyle name="Normal 2 13 13 3" xfId="1721"/>
    <cellStyle name="Normal 2 13 14" xfId="1722"/>
    <cellStyle name="Normal 2 13 14 2" xfId="1723"/>
    <cellStyle name="Normal 2 13 14 2 2" xfId="1724"/>
    <cellStyle name="Normal 2 13 14 3" xfId="1725"/>
    <cellStyle name="Normal 2 13 15" xfId="1726"/>
    <cellStyle name="Normal 2 13 15 2" xfId="1727"/>
    <cellStyle name="Normal 2 13 15 2 2" xfId="1728"/>
    <cellStyle name="Normal 2 13 15 3" xfId="1729"/>
    <cellStyle name="Normal 2 13 16" xfId="1730"/>
    <cellStyle name="Normal 2 13 16 2" xfId="1731"/>
    <cellStyle name="Normal 2 13 16 2 2" xfId="1732"/>
    <cellStyle name="Normal 2 13 16 3" xfId="1733"/>
    <cellStyle name="Normal 2 13 17" xfId="1734"/>
    <cellStyle name="Normal 2 13 17 2" xfId="1735"/>
    <cellStyle name="Normal 2 13 17 2 2" xfId="1736"/>
    <cellStyle name="Normal 2 13 17 3" xfId="1737"/>
    <cellStyle name="Normal 2 13 18" xfId="1738"/>
    <cellStyle name="Normal 2 13 18 2" xfId="1739"/>
    <cellStyle name="Normal 2 13 18 2 2" xfId="1740"/>
    <cellStyle name="Normal 2 13 18 3" xfId="1741"/>
    <cellStyle name="Normal 2 13 19" xfId="1742"/>
    <cellStyle name="Normal 2 13 19 2" xfId="1743"/>
    <cellStyle name="Normal 2 13 19 2 2" xfId="1744"/>
    <cellStyle name="Normal 2 13 19 3" xfId="1745"/>
    <cellStyle name="Normal 2 13 2" xfId="1746"/>
    <cellStyle name="Normal 2 13 2 2" xfId="1747"/>
    <cellStyle name="Normal 2 13 2 2 2" xfId="1748"/>
    <cellStyle name="Normal 2 13 2 3" xfId="1749"/>
    <cellStyle name="Normal 2 13 20" xfId="1750"/>
    <cellStyle name="Normal 2 13 20 2" xfId="1751"/>
    <cellStyle name="Normal 2 13 20 2 2" xfId="1752"/>
    <cellStyle name="Normal 2 13 20 3" xfId="1753"/>
    <cellStyle name="Normal 2 13 21" xfId="1754"/>
    <cellStyle name="Normal 2 13 21 2" xfId="1755"/>
    <cellStyle name="Normal 2 13 21 2 2" xfId="1756"/>
    <cellStyle name="Normal 2 13 21 3" xfId="1757"/>
    <cellStyle name="Normal 2 13 22" xfId="1758"/>
    <cellStyle name="Normal 2 13 22 2" xfId="1759"/>
    <cellStyle name="Normal 2 13 22 2 2" xfId="1760"/>
    <cellStyle name="Normal 2 13 22 3" xfId="1761"/>
    <cellStyle name="Normal 2 13 23" xfId="1762"/>
    <cellStyle name="Normal 2 13 23 2" xfId="1763"/>
    <cellStyle name="Normal 2 13 23 2 2" xfId="1764"/>
    <cellStyle name="Normal 2 13 23 3" xfId="1765"/>
    <cellStyle name="Normal 2 13 24" xfId="1766"/>
    <cellStyle name="Normal 2 13 24 2" xfId="1767"/>
    <cellStyle name="Normal 2 13 25" xfId="1768"/>
    <cellStyle name="Normal 2 13 3" xfId="1769"/>
    <cellStyle name="Normal 2 13 3 2" xfId="1770"/>
    <cellStyle name="Normal 2 13 3 2 2" xfId="1771"/>
    <cellStyle name="Normal 2 13 3 3" xfId="1772"/>
    <cellStyle name="Normal 2 13 4" xfId="1773"/>
    <cellStyle name="Normal 2 13 4 2" xfId="1774"/>
    <cellStyle name="Normal 2 13 4 2 2" xfId="1775"/>
    <cellStyle name="Normal 2 13 4 3" xfId="1776"/>
    <cellStyle name="Normal 2 13 5" xfId="1777"/>
    <cellStyle name="Normal 2 13 5 2" xfId="1778"/>
    <cellStyle name="Normal 2 13 5 2 2" xfId="1779"/>
    <cellStyle name="Normal 2 13 5 3" xfId="1780"/>
    <cellStyle name="Normal 2 13 6" xfId="1781"/>
    <cellStyle name="Normal 2 13 6 2" xfId="1782"/>
    <cellStyle name="Normal 2 13 6 2 2" xfId="1783"/>
    <cellStyle name="Normal 2 13 6 3" xfId="1784"/>
    <cellStyle name="Normal 2 13 7" xfId="1785"/>
    <cellStyle name="Normal 2 13 7 2" xfId="1786"/>
    <cellStyle name="Normal 2 13 7 2 2" xfId="1787"/>
    <cellStyle name="Normal 2 13 7 3" xfId="1788"/>
    <cellStyle name="Normal 2 13 8" xfId="1789"/>
    <cellStyle name="Normal 2 13 8 2" xfId="1790"/>
    <cellStyle name="Normal 2 13 8 2 2" xfId="1791"/>
    <cellStyle name="Normal 2 13 8 3" xfId="1792"/>
    <cellStyle name="Normal 2 13 9" xfId="1793"/>
    <cellStyle name="Normal 2 13 9 2" xfId="1794"/>
    <cellStyle name="Normal 2 13 9 2 2" xfId="1795"/>
    <cellStyle name="Normal 2 13 9 3" xfId="1796"/>
    <cellStyle name="Normal 2 14" xfId="1797"/>
    <cellStyle name="Normal 2 14 10" xfId="1798"/>
    <cellStyle name="Normal 2 14 10 2" xfId="1799"/>
    <cellStyle name="Normal 2 14 10 2 2" xfId="1800"/>
    <cellStyle name="Normal 2 14 10 3" xfId="1801"/>
    <cellStyle name="Normal 2 14 11" xfId="1802"/>
    <cellStyle name="Normal 2 14 11 2" xfId="1803"/>
    <cellStyle name="Normal 2 14 11 2 2" xfId="1804"/>
    <cellStyle name="Normal 2 14 11 3" xfId="1805"/>
    <cellStyle name="Normal 2 14 12" xfId="1806"/>
    <cellStyle name="Normal 2 14 12 2" xfId="1807"/>
    <cellStyle name="Normal 2 14 12 2 2" xfId="1808"/>
    <cellStyle name="Normal 2 14 12 3" xfId="1809"/>
    <cellStyle name="Normal 2 14 13" xfId="1810"/>
    <cellStyle name="Normal 2 14 13 2" xfId="1811"/>
    <cellStyle name="Normal 2 14 13 2 2" xfId="1812"/>
    <cellStyle name="Normal 2 14 13 3" xfId="1813"/>
    <cellStyle name="Normal 2 14 14" xfId="1814"/>
    <cellStyle name="Normal 2 14 14 2" xfId="1815"/>
    <cellStyle name="Normal 2 14 14 2 2" xfId="1816"/>
    <cellStyle name="Normal 2 14 14 3" xfId="1817"/>
    <cellStyle name="Normal 2 14 15" xfId="1818"/>
    <cellStyle name="Normal 2 14 15 2" xfId="1819"/>
    <cellStyle name="Normal 2 14 15 2 2" xfId="1820"/>
    <cellStyle name="Normal 2 14 15 3" xfId="1821"/>
    <cellStyle name="Normal 2 14 16" xfId="1822"/>
    <cellStyle name="Normal 2 14 16 2" xfId="1823"/>
    <cellStyle name="Normal 2 14 16 2 2" xfId="1824"/>
    <cellStyle name="Normal 2 14 16 3" xfId="1825"/>
    <cellStyle name="Normal 2 14 17" xfId="1826"/>
    <cellStyle name="Normal 2 14 17 2" xfId="1827"/>
    <cellStyle name="Normal 2 14 17 2 2" xfId="1828"/>
    <cellStyle name="Normal 2 14 17 3" xfId="1829"/>
    <cellStyle name="Normal 2 14 18" xfId="1830"/>
    <cellStyle name="Normal 2 14 18 2" xfId="1831"/>
    <cellStyle name="Normal 2 14 18 2 2" xfId="1832"/>
    <cellStyle name="Normal 2 14 18 3" xfId="1833"/>
    <cellStyle name="Normal 2 14 19" xfId="1834"/>
    <cellStyle name="Normal 2 14 19 2" xfId="1835"/>
    <cellStyle name="Normal 2 14 19 2 2" xfId="1836"/>
    <cellStyle name="Normal 2 14 19 3" xfId="1837"/>
    <cellStyle name="Normal 2 14 2" xfId="1838"/>
    <cellStyle name="Normal 2 14 2 2" xfId="1839"/>
    <cellStyle name="Normal 2 14 2 2 2" xfId="1840"/>
    <cellStyle name="Normal 2 14 2 3" xfId="1841"/>
    <cellStyle name="Normal 2 14 20" xfId="1842"/>
    <cellStyle name="Normal 2 14 20 2" xfId="1843"/>
    <cellStyle name="Normal 2 14 20 2 2" xfId="1844"/>
    <cellStyle name="Normal 2 14 20 3" xfId="1845"/>
    <cellStyle name="Normal 2 14 21" xfId="1846"/>
    <cellStyle name="Normal 2 14 21 2" xfId="1847"/>
    <cellStyle name="Normal 2 14 21 2 2" xfId="1848"/>
    <cellStyle name="Normal 2 14 21 3" xfId="1849"/>
    <cellStyle name="Normal 2 14 22" xfId="1850"/>
    <cellStyle name="Normal 2 14 22 2" xfId="1851"/>
    <cellStyle name="Normal 2 14 22 2 2" xfId="1852"/>
    <cellStyle name="Normal 2 14 22 3" xfId="1853"/>
    <cellStyle name="Normal 2 14 23" xfId="1854"/>
    <cellStyle name="Normal 2 14 23 2" xfId="1855"/>
    <cellStyle name="Normal 2 14 23 2 2" xfId="1856"/>
    <cellStyle name="Normal 2 14 23 3" xfId="1857"/>
    <cellStyle name="Normal 2 14 24" xfId="1858"/>
    <cellStyle name="Normal 2 14 24 2" xfId="1859"/>
    <cellStyle name="Normal 2 14 25" xfId="1860"/>
    <cellStyle name="Normal 2 14 3" xfId="1861"/>
    <cellStyle name="Normal 2 14 3 2" xfId="1862"/>
    <cellStyle name="Normal 2 14 3 2 2" xfId="1863"/>
    <cellStyle name="Normal 2 14 3 3" xfId="1864"/>
    <cellStyle name="Normal 2 14 4" xfId="1865"/>
    <cellStyle name="Normal 2 14 4 2" xfId="1866"/>
    <cellStyle name="Normal 2 14 4 2 2" xfId="1867"/>
    <cellStyle name="Normal 2 14 4 3" xfId="1868"/>
    <cellStyle name="Normal 2 14 5" xfId="1869"/>
    <cellStyle name="Normal 2 14 5 2" xfId="1870"/>
    <cellStyle name="Normal 2 14 5 2 2" xfId="1871"/>
    <cellStyle name="Normal 2 14 5 3" xfId="1872"/>
    <cellStyle name="Normal 2 14 6" xfId="1873"/>
    <cellStyle name="Normal 2 14 6 2" xfId="1874"/>
    <cellStyle name="Normal 2 14 6 2 2" xfId="1875"/>
    <cellStyle name="Normal 2 14 6 3" xfId="1876"/>
    <cellStyle name="Normal 2 14 7" xfId="1877"/>
    <cellStyle name="Normal 2 14 7 2" xfId="1878"/>
    <cellStyle name="Normal 2 14 7 2 2" xfId="1879"/>
    <cellStyle name="Normal 2 14 7 3" xfId="1880"/>
    <cellStyle name="Normal 2 14 8" xfId="1881"/>
    <cellStyle name="Normal 2 14 8 2" xfId="1882"/>
    <cellStyle name="Normal 2 14 8 2 2" xfId="1883"/>
    <cellStyle name="Normal 2 14 8 3" xfId="1884"/>
    <cellStyle name="Normal 2 14 9" xfId="1885"/>
    <cellStyle name="Normal 2 14 9 2" xfId="1886"/>
    <cellStyle name="Normal 2 14 9 2 2" xfId="1887"/>
    <cellStyle name="Normal 2 14 9 3" xfId="1888"/>
    <cellStyle name="Normal 2 15" xfId="1889"/>
    <cellStyle name="Normal 2 15 10" xfId="1890"/>
    <cellStyle name="Normal 2 15 10 2" xfId="1891"/>
    <cellStyle name="Normal 2 15 10 2 2" xfId="1892"/>
    <cellStyle name="Normal 2 15 10 3" xfId="1893"/>
    <cellStyle name="Normal 2 15 11" xfId="1894"/>
    <cellStyle name="Normal 2 15 11 2" xfId="1895"/>
    <cellStyle name="Normal 2 15 11 2 2" xfId="1896"/>
    <cellStyle name="Normal 2 15 11 3" xfId="1897"/>
    <cellStyle name="Normal 2 15 12" xfId="1898"/>
    <cellStyle name="Normal 2 15 12 2" xfId="1899"/>
    <cellStyle name="Normal 2 15 12 2 2" xfId="1900"/>
    <cellStyle name="Normal 2 15 12 3" xfId="1901"/>
    <cellStyle name="Normal 2 15 13" xfId="1902"/>
    <cellStyle name="Normal 2 15 13 2" xfId="1903"/>
    <cellStyle name="Normal 2 15 13 2 2" xfId="1904"/>
    <cellStyle name="Normal 2 15 13 3" xfId="1905"/>
    <cellStyle name="Normal 2 15 14" xfId="1906"/>
    <cellStyle name="Normal 2 15 14 2" xfId="1907"/>
    <cellStyle name="Normal 2 15 14 2 2" xfId="1908"/>
    <cellStyle name="Normal 2 15 14 3" xfId="1909"/>
    <cellStyle name="Normal 2 15 15" xfId="1910"/>
    <cellStyle name="Normal 2 15 15 2" xfId="1911"/>
    <cellStyle name="Normal 2 15 15 2 2" xfId="1912"/>
    <cellStyle name="Normal 2 15 15 3" xfId="1913"/>
    <cellStyle name="Normal 2 15 16" xfId="1914"/>
    <cellStyle name="Normal 2 15 16 2" xfId="1915"/>
    <cellStyle name="Normal 2 15 16 2 2" xfId="1916"/>
    <cellStyle name="Normal 2 15 16 3" xfId="1917"/>
    <cellStyle name="Normal 2 15 17" xfId="1918"/>
    <cellStyle name="Normal 2 15 17 2" xfId="1919"/>
    <cellStyle name="Normal 2 15 17 2 2" xfId="1920"/>
    <cellStyle name="Normal 2 15 17 3" xfId="1921"/>
    <cellStyle name="Normal 2 15 18" xfId="1922"/>
    <cellStyle name="Normal 2 15 18 2" xfId="1923"/>
    <cellStyle name="Normal 2 15 18 2 2" xfId="1924"/>
    <cellStyle name="Normal 2 15 18 3" xfId="1925"/>
    <cellStyle name="Normal 2 15 19" xfId="1926"/>
    <cellStyle name="Normal 2 15 19 2" xfId="1927"/>
    <cellStyle name="Normal 2 15 19 2 2" xfId="1928"/>
    <cellStyle name="Normal 2 15 19 3" xfId="1929"/>
    <cellStyle name="Normal 2 15 2" xfId="1930"/>
    <cellStyle name="Normal 2 15 2 2" xfId="1931"/>
    <cellStyle name="Normal 2 15 2 2 2" xfId="1932"/>
    <cellStyle name="Normal 2 15 2 3" xfId="1933"/>
    <cellStyle name="Normal 2 15 20" xfId="1934"/>
    <cellStyle name="Normal 2 15 20 2" xfId="1935"/>
    <cellStyle name="Normal 2 15 20 2 2" xfId="1936"/>
    <cellStyle name="Normal 2 15 20 3" xfId="1937"/>
    <cellStyle name="Normal 2 15 21" xfId="1938"/>
    <cellStyle name="Normal 2 15 21 2" xfId="1939"/>
    <cellStyle name="Normal 2 15 21 2 2" xfId="1940"/>
    <cellStyle name="Normal 2 15 21 3" xfId="1941"/>
    <cellStyle name="Normal 2 15 22" xfId="1942"/>
    <cellStyle name="Normal 2 15 22 2" xfId="1943"/>
    <cellStyle name="Normal 2 15 22 2 2" xfId="1944"/>
    <cellStyle name="Normal 2 15 22 3" xfId="1945"/>
    <cellStyle name="Normal 2 15 23" xfId="1946"/>
    <cellStyle name="Normal 2 15 23 2" xfId="1947"/>
    <cellStyle name="Normal 2 15 23 2 2" xfId="1948"/>
    <cellStyle name="Normal 2 15 23 3" xfId="1949"/>
    <cellStyle name="Normal 2 15 24" xfId="1950"/>
    <cellStyle name="Normal 2 15 24 2" xfId="1951"/>
    <cellStyle name="Normal 2 15 25" xfId="1952"/>
    <cellStyle name="Normal 2 15 3" xfId="1953"/>
    <cellStyle name="Normal 2 15 3 2" xfId="1954"/>
    <cellStyle name="Normal 2 15 3 2 2" xfId="1955"/>
    <cellStyle name="Normal 2 15 3 3" xfId="1956"/>
    <cellStyle name="Normal 2 15 4" xfId="1957"/>
    <cellStyle name="Normal 2 15 4 2" xfId="1958"/>
    <cellStyle name="Normal 2 15 4 2 2" xfId="1959"/>
    <cellStyle name="Normal 2 15 4 3" xfId="1960"/>
    <cellStyle name="Normal 2 15 5" xfId="1961"/>
    <cellStyle name="Normal 2 15 5 2" xfId="1962"/>
    <cellStyle name="Normal 2 15 5 2 2" xfId="1963"/>
    <cellStyle name="Normal 2 15 5 3" xfId="1964"/>
    <cellStyle name="Normal 2 15 6" xfId="1965"/>
    <cellStyle name="Normal 2 15 6 2" xfId="1966"/>
    <cellStyle name="Normal 2 15 6 2 2" xfId="1967"/>
    <cellStyle name="Normal 2 15 6 3" xfId="1968"/>
    <cellStyle name="Normal 2 15 7" xfId="1969"/>
    <cellStyle name="Normal 2 15 7 2" xfId="1970"/>
    <cellStyle name="Normal 2 15 7 2 2" xfId="1971"/>
    <cellStyle name="Normal 2 15 7 3" xfId="1972"/>
    <cellStyle name="Normal 2 15 8" xfId="1973"/>
    <cellStyle name="Normal 2 15 8 2" xfId="1974"/>
    <cellStyle name="Normal 2 15 8 2 2" xfId="1975"/>
    <cellStyle name="Normal 2 15 8 3" xfId="1976"/>
    <cellStyle name="Normal 2 15 9" xfId="1977"/>
    <cellStyle name="Normal 2 15 9 2" xfId="1978"/>
    <cellStyle name="Normal 2 15 9 2 2" xfId="1979"/>
    <cellStyle name="Normal 2 15 9 3" xfId="1980"/>
    <cellStyle name="Normal 2 16" xfId="1981"/>
    <cellStyle name="Normal 2 16 10" xfId="1982"/>
    <cellStyle name="Normal 2 16 10 2" xfId="1983"/>
    <cellStyle name="Normal 2 16 10 2 2" xfId="1984"/>
    <cellStyle name="Normal 2 16 10 3" xfId="1985"/>
    <cellStyle name="Normal 2 16 11" xfId="1986"/>
    <cellStyle name="Normal 2 16 11 2" xfId="1987"/>
    <cellStyle name="Normal 2 16 11 2 2" xfId="1988"/>
    <cellStyle name="Normal 2 16 11 3" xfId="1989"/>
    <cellStyle name="Normal 2 16 12" xfId="1990"/>
    <cellStyle name="Normal 2 16 12 2" xfId="1991"/>
    <cellStyle name="Normal 2 16 12 2 2" xfId="1992"/>
    <cellStyle name="Normal 2 16 12 3" xfId="1993"/>
    <cellStyle name="Normal 2 16 13" xfId="1994"/>
    <cellStyle name="Normal 2 16 13 2" xfId="1995"/>
    <cellStyle name="Normal 2 16 13 2 2" xfId="1996"/>
    <cellStyle name="Normal 2 16 13 3" xfId="1997"/>
    <cellStyle name="Normal 2 16 14" xfId="1998"/>
    <cellStyle name="Normal 2 16 14 2" xfId="1999"/>
    <cellStyle name="Normal 2 16 14 2 2" xfId="2000"/>
    <cellStyle name="Normal 2 16 14 3" xfId="2001"/>
    <cellStyle name="Normal 2 16 15" xfId="2002"/>
    <cellStyle name="Normal 2 16 15 2" xfId="2003"/>
    <cellStyle name="Normal 2 16 15 2 2" xfId="2004"/>
    <cellStyle name="Normal 2 16 15 3" xfId="2005"/>
    <cellStyle name="Normal 2 16 16" xfId="2006"/>
    <cellStyle name="Normal 2 16 16 2" xfId="2007"/>
    <cellStyle name="Normal 2 16 16 2 2" xfId="2008"/>
    <cellStyle name="Normal 2 16 16 3" xfId="2009"/>
    <cellStyle name="Normal 2 16 17" xfId="2010"/>
    <cellStyle name="Normal 2 16 17 2" xfId="2011"/>
    <cellStyle name="Normal 2 16 17 2 2" xfId="2012"/>
    <cellStyle name="Normal 2 16 17 3" xfId="2013"/>
    <cellStyle name="Normal 2 16 18" xfId="2014"/>
    <cellStyle name="Normal 2 16 18 2" xfId="2015"/>
    <cellStyle name="Normal 2 16 18 2 2" xfId="2016"/>
    <cellStyle name="Normal 2 16 18 3" xfId="2017"/>
    <cellStyle name="Normal 2 16 19" xfId="2018"/>
    <cellStyle name="Normal 2 16 19 2" xfId="2019"/>
    <cellStyle name="Normal 2 16 19 2 2" xfId="2020"/>
    <cellStyle name="Normal 2 16 19 3" xfId="2021"/>
    <cellStyle name="Normal 2 16 2" xfId="2022"/>
    <cellStyle name="Normal 2 16 2 2" xfId="2023"/>
    <cellStyle name="Normal 2 16 2 2 2" xfId="2024"/>
    <cellStyle name="Normal 2 16 2 3" xfId="2025"/>
    <cellStyle name="Normal 2 16 20" xfId="2026"/>
    <cellStyle name="Normal 2 16 20 2" xfId="2027"/>
    <cellStyle name="Normal 2 16 20 2 2" xfId="2028"/>
    <cellStyle name="Normal 2 16 20 3" xfId="2029"/>
    <cellStyle name="Normal 2 16 21" xfId="2030"/>
    <cellStyle name="Normal 2 16 21 2" xfId="2031"/>
    <cellStyle name="Normal 2 16 21 2 2" xfId="2032"/>
    <cellStyle name="Normal 2 16 21 3" xfId="2033"/>
    <cellStyle name="Normal 2 16 22" xfId="2034"/>
    <cellStyle name="Normal 2 16 22 2" xfId="2035"/>
    <cellStyle name="Normal 2 16 22 2 2" xfId="2036"/>
    <cellStyle name="Normal 2 16 22 3" xfId="2037"/>
    <cellStyle name="Normal 2 16 23" xfId="2038"/>
    <cellStyle name="Normal 2 16 23 2" xfId="2039"/>
    <cellStyle name="Normal 2 16 23 2 2" xfId="2040"/>
    <cellStyle name="Normal 2 16 23 3" xfId="2041"/>
    <cellStyle name="Normal 2 16 24" xfId="2042"/>
    <cellStyle name="Normal 2 16 24 2" xfId="2043"/>
    <cellStyle name="Normal 2 16 25" xfId="2044"/>
    <cellStyle name="Normal 2 16 3" xfId="2045"/>
    <cellStyle name="Normal 2 16 3 2" xfId="2046"/>
    <cellStyle name="Normal 2 16 3 2 2" xfId="2047"/>
    <cellStyle name="Normal 2 16 3 3" xfId="2048"/>
    <cellStyle name="Normal 2 16 4" xfId="2049"/>
    <cellStyle name="Normal 2 16 4 2" xfId="2050"/>
    <cellStyle name="Normal 2 16 4 2 2" xfId="2051"/>
    <cellStyle name="Normal 2 16 4 3" xfId="2052"/>
    <cellStyle name="Normal 2 16 5" xfId="2053"/>
    <cellStyle name="Normal 2 16 5 2" xfId="2054"/>
    <cellStyle name="Normal 2 16 5 2 2" xfId="2055"/>
    <cellStyle name="Normal 2 16 5 3" xfId="2056"/>
    <cellStyle name="Normal 2 16 6" xfId="2057"/>
    <cellStyle name="Normal 2 16 6 2" xfId="2058"/>
    <cellStyle name="Normal 2 16 6 2 2" xfId="2059"/>
    <cellStyle name="Normal 2 16 6 3" xfId="2060"/>
    <cellStyle name="Normal 2 16 7" xfId="2061"/>
    <cellStyle name="Normal 2 16 7 2" xfId="2062"/>
    <cellStyle name="Normal 2 16 7 2 2" xfId="2063"/>
    <cellStyle name="Normal 2 16 7 3" xfId="2064"/>
    <cellStyle name="Normal 2 16 8" xfId="2065"/>
    <cellStyle name="Normal 2 16 8 2" xfId="2066"/>
    <cellStyle name="Normal 2 16 8 2 2" xfId="2067"/>
    <cellStyle name="Normal 2 16 8 3" xfId="2068"/>
    <cellStyle name="Normal 2 16 9" xfId="2069"/>
    <cellStyle name="Normal 2 16 9 2" xfId="2070"/>
    <cellStyle name="Normal 2 16 9 2 2" xfId="2071"/>
    <cellStyle name="Normal 2 16 9 3" xfId="2072"/>
    <cellStyle name="Normal 2 17" xfId="2073"/>
    <cellStyle name="Normal 2 17 10" xfId="2074"/>
    <cellStyle name="Normal 2 17 10 2" xfId="2075"/>
    <cellStyle name="Normal 2 17 10 2 2" xfId="2076"/>
    <cellStyle name="Normal 2 17 10 3" xfId="2077"/>
    <cellStyle name="Normal 2 17 11" xfId="2078"/>
    <cellStyle name="Normal 2 17 11 2" xfId="2079"/>
    <cellStyle name="Normal 2 17 11 2 2" xfId="2080"/>
    <cellStyle name="Normal 2 17 11 3" xfId="2081"/>
    <cellStyle name="Normal 2 17 12" xfId="2082"/>
    <cellStyle name="Normal 2 17 12 2" xfId="2083"/>
    <cellStyle name="Normal 2 17 12 2 2" xfId="2084"/>
    <cellStyle name="Normal 2 17 12 3" xfId="2085"/>
    <cellStyle name="Normal 2 17 13" xfId="2086"/>
    <cellStyle name="Normal 2 17 13 2" xfId="2087"/>
    <cellStyle name="Normal 2 17 13 2 2" xfId="2088"/>
    <cellStyle name="Normal 2 17 13 3" xfId="2089"/>
    <cellStyle name="Normal 2 17 14" xfId="2090"/>
    <cellStyle name="Normal 2 17 14 2" xfId="2091"/>
    <cellStyle name="Normal 2 17 14 2 2" xfId="2092"/>
    <cellStyle name="Normal 2 17 14 3" xfId="2093"/>
    <cellStyle name="Normal 2 17 15" xfId="2094"/>
    <cellStyle name="Normal 2 17 15 2" xfId="2095"/>
    <cellStyle name="Normal 2 17 15 2 2" xfId="2096"/>
    <cellStyle name="Normal 2 17 15 3" xfId="2097"/>
    <cellStyle name="Normal 2 17 16" xfId="2098"/>
    <cellStyle name="Normal 2 17 16 2" xfId="2099"/>
    <cellStyle name="Normal 2 17 16 2 2" xfId="2100"/>
    <cellStyle name="Normal 2 17 16 3" xfId="2101"/>
    <cellStyle name="Normal 2 17 17" xfId="2102"/>
    <cellStyle name="Normal 2 17 17 2" xfId="2103"/>
    <cellStyle name="Normal 2 17 17 2 2" xfId="2104"/>
    <cellStyle name="Normal 2 17 17 3" xfId="2105"/>
    <cellStyle name="Normal 2 17 18" xfId="2106"/>
    <cellStyle name="Normal 2 17 18 2" xfId="2107"/>
    <cellStyle name="Normal 2 17 18 2 2" xfId="2108"/>
    <cellStyle name="Normal 2 17 18 3" xfId="2109"/>
    <cellStyle name="Normal 2 17 19" xfId="2110"/>
    <cellStyle name="Normal 2 17 19 2" xfId="2111"/>
    <cellStyle name="Normal 2 17 19 2 2" xfId="2112"/>
    <cellStyle name="Normal 2 17 19 3" xfId="2113"/>
    <cellStyle name="Normal 2 17 2" xfId="2114"/>
    <cellStyle name="Normal 2 17 2 2" xfId="2115"/>
    <cellStyle name="Normal 2 17 2 2 2" xfId="2116"/>
    <cellStyle name="Normal 2 17 2 3" xfId="2117"/>
    <cellStyle name="Normal 2 17 20" xfId="2118"/>
    <cellStyle name="Normal 2 17 20 2" xfId="2119"/>
    <cellStyle name="Normal 2 17 20 2 2" xfId="2120"/>
    <cellStyle name="Normal 2 17 20 3" xfId="2121"/>
    <cellStyle name="Normal 2 17 21" xfId="2122"/>
    <cellStyle name="Normal 2 17 21 2" xfId="2123"/>
    <cellStyle name="Normal 2 17 21 2 2" xfId="2124"/>
    <cellStyle name="Normal 2 17 21 3" xfId="2125"/>
    <cellStyle name="Normal 2 17 22" xfId="2126"/>
    <cellStyle name="Normal 2 17 22 2" xfId="2127"/>
    <cellStyle name="Normal 2 17 22 2 2" xfId="2128"/>
    <cellStyle name="Normal 2 17 22 3" xfId="2129"/>
    <cellStyle name="Normal 2 17 23" xfId="2130"/>
    <cellStyle name="Normal 2 17 23 2" xfId="2131"/>
    <cellStyle name="Normal 2 17 23 2 2" xfId="2132"/>
    <cellStyle name="Normal 2 17 23 3" xfId="2133"/>
    <cellStyle name="Normal 2 17 24" xfId="2134"/>
    <cellStyle name="Normal 2 17 24 2" xfId="2135"/>
    <cellStyle name="Normal 2 17 25" xfId="2136"/>
    <cellStyle name="Normal 2 17 3" xfId="2137"/>
    <cellStyle name="Normal 2 17 3 2" xfId="2138"/>
    <cellStyle name="Normal 2 17 3 2 2" xfId="2139"/>
    <cellStyle name="Normal 2 17 3 3" xfId="2140"/>
    <cellStyle name="Normal 2 17 4" xfId="2141"/>
    <cellStyle name="Normal 2 17 4 2" xfId="2142"/>
    <cellStyle name="Normal 2 17 4 2 2" xfId="2143"/>
    <cellStyle name="Normal 2 17 4 3" xfId="2144"/>
    <cellStyle name="Normal 2 17 5" xfId="2145"/>
    <cellStyle name="Normal 2 17 5 2" xfId="2146"/>
    <cellStyle name="Normal 2 17 5 2 2" xfId="2147"/>
    <cellStyle name="Normal 2 17 5 3" xfId="2148"/>
    <cellStyle name="Normal 2 17 6" xfId="2149"/>
    <cellStyle name="Normal 2 17 6 2" xfId="2150"/>
    <cellStyle name="Normal 2 17 6 2 2" xfId="2151"/>
    <cellStyle name="Normal 2 17 6 3" xfId="2152"/>
    <cellStyle name="Normal 2 17 7" xfId="2153"/>
    <cellStyle name="Normal 2 17 7 2" xfId="2154"/>
    <cellStyle name="Normal 2 17 7 2 2" xfId="2155"/>
    <cellStyle name="Normal 2 17 7 3" xfId="2156"/>
    <cellStyle name="Normal 2 17 8" xfId="2157"/>
    <cellStyle name="Normal 2 17 8 2" xfId="2158"/>
    <cellStyle name="Normal 2 17 8 2 2" xfId="2159"/>
    <cellStyle name="Normal 2 17 8 3" xfId="2160"/>
    <cellStyle name="Normal 2 17 9" xfId="2161"/>
    <cellStyle name="Normal 2 17 9 2" xfId="2162"/>
    <cellStyle name="Normal 2 17 9 2 2" xfId="2163"/>
    <cellStyle name="Normal 2 17 9 3" xfId="2164"/>
    <cellStyle name="Normal 2 18" xfId="2165"/>
    <cellStyle name="Normal 2 18 10" xfId="2166"/>
    <cellStyle name="Normal 2 18 10 2" xfId="2167"/>
    <cellStyle name="Normal 2 18 10 2 2" xfId="2168"/>
    <cellStyle name="Normal 2 18 10 3" xfId="2169"/>
    <cellStyle name="Normal 2 18 11" xfId="2170"/>
    <cellStyle name="Normal 2 18 11 2" xfId="2171"/>
    <cellStyle name="Normal 2 18 11 2 2" xfId="2172"/>
    <cellStyle name="Normal 2 18 11 3" xfId="2173"/>
    <cellStyle name="Normal 2 18 12" xfId="2174"/>
    <cellStyle name="Normal 2 18 12 2" xfId="2175"/>
    <cellStyle name="Normal 2 18 12 2 2" xfId="2176"/>
    <cellStyle name="Normal 2 18 12 3" xfId="2177"/>
    <cellStyle name="Normal 2 18 13" xfId="2178"/>
    <cellStyle name="Normal 2 18 13 2" xfId="2179"/>
    <cellStyle name="Normal 2 18 13 2 2" xfId="2180"/>
    <cellStyle name="Normal 2 18 13 3" xfId="2181"/>
    <cellStyle name="Normal 2 18 14" xfId="2182"/>
    <cellStyle name="Normal 2 18 14 2" xfId="2183"/>
    <cellStyle name="Normal 2 18 14 2 2" xfId="2184"/>
    <cellStyle name="Normal 2 18 14 3" xfId="2185"/>
    <cellStyle name="Normal 2 18 15" xfId="2186"/>
    <cellStyle name="Normal 2 18 15 2" xfId="2187"/>
    <cellStyle name="Normal 2 18 15 2 2" xfId="2188"/>
    <cellStyle name="Normal 2 18 15 3" xfId="2189"/>
    <cellStyle name="Normal 2 18 16" xfId="2190"/>
    <cellStyle name="Normal 2 18 16 2" xfId="2191"/>
    <cellStyle name="Normal 2 18 16 2 2" xfId="2192"/>
    <cellStyle name="Normal 2 18 16 3" xfId="2193"/>
    <cellStyle name="Normal 2 18 17" xfId="2194"/>
    <cellStyle name="Normal 2 18 17 2" xfId="2195"/>
    <cellStyle name="Normal 2 18 17 2 2" xfId="2196"/>
    <cellStyle name="Normal 2 18 17 3" xfId="2197"/>
    <cellStyle name="Normal 2 18 18" xfId="2198"/>
    <cellStyle name="Normal 2 18 18 2" xfId="2199"/>
    <cellStyle name="Normal 2 18 18 2 2" xfId="2200"/>
    <cellStyle name="Normal 2 18 18 3" xfId="2201"/>
    <cellStyle name="Normal 2 18 19" xfId="2202"/>
    <cellStyle name="Normal 2 18 19 2" xfId="2203"/>
    <cellStyle name="Normal 2 18 19 2 2" xfId="2204"/>
    <cellStyle name="Normal 2 18 19 3" xfId="2205"/>
    <cellStyle name="Normal 2 18 2" xfId="2206"/>
    <cellStyle name="Normal 2 18 2 2" xfId="2207"/>
    <cellStyle name="Normal 2 18 2 2 2" xfId="2208"/>
    <cellStyle name="Normal 2 18 2 3" xfId="2209"/>
    <cellStyle name="Normal 2 18 20" xfId="2210"/>
    <cellStyle name="Normal 2 18 20 2" xfId="2211"/>
    <cellStyle name="Normal 2 18 20 2 2" xfId="2212"/>
    <cellStyle name="Normal 2 18 20 3" xfId="2213"/>
    <cellStyle name="Normal 2 18 21" xfId="2214"/>
    <cellStyle name="Normal 2 18 21 2" xfId="2215"/>
    <cellStyle name="Normal 2 18 21 2 2" xfId="2216"/>
    <cellStyle name="Normal 2 18 21 3" xfId="2217"/>
    <cellStyle name="Normal 2 18 22" xfId="2218"/>
    <cellStyle name="Normal 2 18 22 2" xfId="2219"/>
    <cellStyle name="Normal 2 18 22 2 2" xfId="2220"/>
    <cellStyle name="Normal 2 18 22 3" xfId="2221"/>
    <cellStyle name="Normal 2 18 23" xfId="2222"/>
    <cellStyle name="Normal 2 18 23 2" xfId="2223"/>
    <cellStyle name="Normal 2 18 23 2 2" xfId="2224"/>
    <cellStyle name="Normal 2 18 23 3" xfId="2225"/>
    <cellStyle name="Normal 2 18 24" xfId="2226"/>
    <cellStyle name="Normal 2 18 24 2" xfId="2227"/>
    <cellStyle name="Normal 2 18 25" xfId="2228"/>
    <cellStyle name="Normal 2 18 3" xfId="2229"/>
    <cellStyle name="Normal 2 18 3 2" xfId="2230"/>
    <cellStyle name="Normal 2 18 3 2 2" xfId="2231"/>
    <cellStyle name="Normal 2 18 3 3" xfId="2232"/>
    <cellStyle name="Normal 2 18 4" xfId="2233"/>
    <cellStyle name="Normal 2 18 4 2" xfId="2234"/>
    <cellStyle name="Normal 2 18 4 2 2" xfId="2235"/>
    <cellStyle name="Normal 2 18 4 3" xfId="2236"/>
    <cellStyle name="Normal 2 18 5" xfId="2237"/>
    <cellStyle name="Normal 2 18 5 2" xfId="2238"/>
    <cellStyle name="Normal 2 18 5 2 2" xfId="2239"/>
    <cellStyle name="Normal 2 18 5 3" xfId="2240"/>
    <cellStyle name="Normal 2 18 6" xfId="2241"/>
    <cellStyle name="Normal 2 18 6 2" xfId="2242"/>
    <cellStyle name="Normal 2 18 6 2 2" xfId="2243"/>
    <cellStyle name="Normal 2 18 6 3" xfId="2244"/>
    <cellStyle name="Normal 2 18 7" xfId="2245"/>
    <cellStyle name="Normal 2 18 7 2" xfId="2246"/>
    <cellStyle name="Normal 2 18 7 2 2" xfId="2247"/>
    <cellStyle name="Normal 2 18 7 3" xfId="2248"/>
    <cellStyle name="Normal 2 18 8" xfId="2249"/>
    <cellStyle name="Normal 2 18 8 2" xfId="2250"/>
    <cellStyle name="Normal 2 18 8 2 2" xfId="2251"/>
    <cellStyle name="Normal 2 18 8 3" xfId="2252"/>
    <cellStyle name="Normal 2 18 9" xfId="2253"/>
    <cellStyle name="Normal 2 18 9 2" xfId="2254"/>
    <cellStyle name="Normal 2 18 9 2 2" xfId="2255"/>
    <cellStyle name="Normal 2 18 9 3" xfId="2256"/>
    <cellStyle name="Normal 2 19" xfId="2257"/>
    <cellStyle name="Normal 2 19 10" xfId="2258"/>
    <cellStyle name="Normal 2 19 10 2" xfId="2259"/>
    <cellStyle name="Normal 2 19 10 2 2" xfId="2260"/>
    <cellStyle name="Normal 2 19 10 3" xfId="2261"/>
    <cellStyle name="Normal 2 19 11" xfId="2262"/>
    <cellStyle name="Normal 2 19 11 2" xfId="2263"/>
    <cellStyle name="Normal 2 19 11 2 2" xfId="2264"/>
    <cellStyle name="Normal 2 19 11 3" xfId="2265"/>
    <cellStyle name="Normal 2 19 12" xfId="2266"/>
    <cellStyle name="Normal 2 19 12 2" xfId="2267"/>
    <cellStyle name="Normal 2 19 12 2 2" xfId="2268"/>
    <cellStyle name="Normal 2 19 12 3" xfId="2269"/>
    <cellStyle name="Normal 2 19 13" xfId="2270"/>
    <cellStyle name="Normal 2 19 13 2" xfId="2271"/>
    <cellStyle name="Normal 2 19 13 2 2" xfId="2272"/>
    <cellStyle name="Normal 2 19 13 3" xfId="2273"/>
    <cellStyle name="Normal 2 19 14" xfId="2274"/>
    <cellStyle name="Normal 2 19 14 2" xfId="2275"/>
    <cellStyle name="Normal 2 19 14 2 2" xfId="2276"/>
    <cellStyle name="Normal 2 19 14 3" xfId="2277"/>
    <cellStyle name="Normal 2 19 15" xfId="2278"/>
    <cellStyle name="Normal 2 19 15 2" xfId="2279"/>
    <cellStyle name="Normal 2 19 15 2 2" xfId="2280"/>
    <cellStyle name="Normal 2 19 15 3" xfId="2281"/>
    <cellStyle name="Normal 2 19 16" xfId="2282"/>
    <cellStyle name="Normal 2 19 16 2" xfId="2283"/>
    <cellStyle name="Normal 2 19 16 2 2" xfId="2284"/>
    <cellStyle name="Normal 2 19 16 3" xfId="2285"/>
    <cellStyle name="Normal 2 19 17" xfId="2286"/>
    <cellStyle name="Normal 2 19 17 2" xfId="2287"/>
    <cellStyle name="Normal 2 19 17 2 2" xfId="2288"/>
    <cellStyle name="Normal 2 19 17 3" xfId="2289"/>
    <cellStyle name="Normal 2 19 18" xfId="2290"/>
    <cellStyle name="Normal 2 19 18 2" xfId="2291"/>
    <cellStyle name="Normal 2 19 18 2 2" xfId="2292"/>
    <cellStyle name="Normal 2 19 18 3" xfId="2293"/>
    <cellStyle name="Normal 2 19 19" xfId="2294"/>
    <cellStyle name="Normal 2 19 19 2" xfId="2295"/>
    <cellStyle name="Normal 2 19 19 2 2" xfId="2296"/>
    <cellStyle name="Normal 2 19 19 3" xfId="2297"/>
    <cellStyle name="Normal 2 19 2" xfId="2298"/>
    <cellStyle name="Normal 2 19 2 2" xfId="2299"/>
    <cellStyle name="Normal 2 19 2 2 2" xfId="2300"/>
    <cellStyle name="Normal 2 19 2 3" xfId="2301"/>
    <cellStyle name="Normal 2 19 20" xfId="2302"/>
    <cellStyle name="Normal 2 19 20 2" xfId="2303"/>
    <cellStyle name="Normal 2 19 20 2 2" xfId="2304"/>
    <cellStyle name="Normal 2 19 20 3" xfId="2305"/>
    <cellStyle name="Normal 2 19 21" xfId="2306"/>
    <cellStyle name="Normal 2 19 21 2" xfId="2307"/>
    <cellStyle name="Normal 2 19 21 2 2" xfId="2308"/>
    <cellStyle name="Normal 2 19 21 3" xfId="2309"/>
    <cellStyle name="Normal 2 19 22" xfId="2310"/>
    <cellStyle name="Normal 2 19 22 2" xfId="2311"/>
    <cellStyle name="Normal 2 19 22 2 2" xfId="2312"/>
    <cellStyle name="Normal 2 19 22 3" xfId="2313"/>
    <cellStyle name="Normal 2 19 23" xfId="2314"/>
    <cellStyle name="Normal 2 19 23 2" xfId="2315"/>
    <cellStyle name="Normal 2 19 23 2 2" xfId="2316"/>
    <cellStyle name="Normal 2 19 23 3" xfId="2317"/>
    <cellStyle name="Normal 2 19 24" xfId="2318"/>
    <cellStyle name="Normal 2 19 24 2" xfId="2319"/>
    <cellStyle name="Normal 2 19 25" xfId="2320"/>
    <cellStyle name="Normal 2 19 3" xfId="2321"/>
    <cellStyle name="Normal 2 19 3 2" xfId="2322"/>
    <cellStyle name="Normal 2 19 3 2 2" xfId="2323"/>
    <cellStyle name="Normal 2 19 3 3" xfId="2324"/>
    <cellStyle name="Normal 2 19 4" xfId="2325"/>
    <cellStyle name="Normal 2 19 4 2" xfId="2326"/>
    <cellStyle name="Normal 2 19 4 2 2" xfId="2327"/>
    <cellStyle name="Normal 2 19 4 3" xfId="2328"/>
    <cellStyle name="Normal 2 19 5" xfId="2329"/>
    <cellStyle name="Normal 2 19 5 2" xfId="2330"/>
    <cellStyle name="Normal 2 19 5 2 2" xfId="2331"/>
    <cellStyle name="Normal 2 19 5 3" xfId="2332"/>
    <cellStyle name="Normal 2 19 6" xfId="2333"/>
    <cellStyle name="Normal 2 19 6 2" xfId="2334"/>
    <cellStyle name="Normal 2 19 6 2 2" xfId="2335"/>
    <cellStyle name="Normal 2 19 6 3" xfId="2336"/>
    <cellStyle name="Normal 2 19 7" xfId="2337"/>
    <cellStyle name="Normal 2 19 7 2" xfId="2338"/>
    <cellStyle name="Normal 2 19 7 2 2" xfId="2339"/>
    <cellStyle name="Normal 2 19 7 3" xfId="2340"/>
    <cellStyle name="Normal 2 19 8" xfId="2341"/>
    <cellStyle name="Normal 2 19 8 2" xfId="2342"/>
    <cellStyle name="Normal 2 19 8 2 2" xfId="2343"/>
    <cellStyle name="Normal 2 19 8 3" xfId="2344"/>
    <cellStyle name="Normal 2 19 9" xfId="2345"/>
    <cellStyle name="Normal 2 19 9 2" xfId="2346"/>
    <cellStyle name="Normal 2 19 9 2 2" xfId="2347"/>
    <cellStyle name="Normal 2 19 9 3" xfId="2348"/>
    <cellStyle name="Normal 2 2" xfId="13"/>
    <cellStyle name="Normal 2 2 2" xfId="35"/>
    <cellStyle name="Normal 2 2 2 2" xfId="126"/>
    <cellStyle name="Normal 2 2 2 2 2" xfId="987"/>
    <cellStyle name="Normal 2 2 2 3" xfId="72"/>
    <cellStyle name="Normal 2 2 2 4" xfId="988"/>
    <cellStyle name="Normal 2 2 3" xfId="127"/>
    <cellStyle name="Normal 2 2 3 2" xfId="989"/>
    <cellStyle name="Normal 2 2 3 2 2" xfId="990"/>
    <cellStyle name="Normal 2 2 3 3" xfId="991"/>
    <cellStyle name="Normal 2 2 4" xfId="62"/>
    <cellStyle name="Normal 2 2 4 2" xfId="992"/>
    <cellStyle name="Normal 2 2 5" xfId="993"/>
    <cellStyle name="Normal 2 2 6" xfId="994"/>
    <cellStyle name="Normal 2 2 7" xfId="2349"/>
    <cellStyle name="Normal 2 2 8" xfId="2350"/>
    <cellStyle name="Normal 2 20" xfId="2351"/>
    <cellStyle name="Normal 2 20 10" xfId="2352"/>
    <cellStyle name="Normal 2 20 10 2" xfId="2353"/>
    <cellStyle name="Normal 2 20 10 2 2" xfId="2354"/>
    <cellStyle name="Normal 2 20 10 3" xfId="2355"/>
    <cellStyle name="Normal 2 20 11" xfId="2356"/>
    <cellStyle name="Normal 2 20 11 2" xfId="2357"/>
    <cellStyle name="Normal 2 20 11 2 2" xfId="2358"/>
    <cellStyle name="Normal 2 20 11 3" xfId="2359"/>
    <cellStyle name="Normal 2 20 12" xfId="2360"/>
    <cellStyle name="Normal 2 20 12 2" xfId="2361"/>
    <cellStyle name="Normal 2 20 12 2 2" xfId="2362"/>
    <cellStyle name="Normal 2 20 12 3" xfId="2363"/>
    <cellStyle name="Normal 2 20 13" xfId="2364"/>
    <cellStyle name="Normal 2 20 13 2" xfId="2365"/>
    <cellStyle name="Normal 2 20 13 2 2" xfId="2366"/>
    <cellStyle name="Normal 2 20 13 3" xfId="2367"/>
    <cellStyle name="Normal 2 20 14" xfId="2368"/>
    <cellStyle name="Normal 2 20 14 2" xfId="2369"/>
    <cellStyle name="Normal 2 20 14 2 2" xfId="2370"/>
    <cellStyle name="Normal 2 20 14 3" xfId="2371"/>
    <cellStyle name="Normal 2 20 15" xfId="2372"/>
    <cellStyle name="Normal 2 20 15 2" xfId="2373"/>
    <cellStyle name="Normal 2 20 15 2 2" xfId="2374"/>
    <cellStyle name="Normal 2 20 15 3" xfId="2375"/>
    <cellStyle name="Normal 2 20 16" xfId="2376"/>
    <cellStyle name="Normal 2 20 16 2" xfId="2377"/>
    <cellStyle name="Normal 2 20 16 2 2" xfId="2378"/>
    <cellStyle name="Normal 2 20 16 3" xfId="2379"/>
    <cellStyle name="Normal 2 20 17" xfId="2380"/>
    <cellStyle name="Normal 2 20 17 2" xfId="2381"/>
    <cellStyle name="Normal 2 20 17 2 2" xfId="2382"/>
    <cellStyle name="Normal 2 20 17 3" xfId="2383"/>
    <cellStyle name="Normal 2 20 18" xfId="2384"/>
    <cellStyle name="Normal 2 20 18 2" xfId="2385"/>
    <cellStyle name="Normal 2 20 18 2 2" xfId="2386"/>
    <cellStyle name="Normal 2 20 18 3" xfId="2387"/>
    <cellStyle name="Normal 2 20 19" xfId="2388"/>
    <cellStyle name="Normal 2 20 19 2" xfId="2389"/>
    <cellStyle name="Normal 2 20 19 2 2" xfId="2390"/>
    <cellStyle name="Normal 2 20 19 3" xfId="2391"/>
    <cellStyle name="Normal 2 20 2" xfId="2392"/>
    <cellStyle name="Normal 2 20 2 2" xfId="2393"/>
    <cellStyle name="Normal 2 20 2 2 2" xfId="2394"/>
    <cellStyle name="Normal 2 20 2 3" xfId="2395"/>
    <cellStyle name="Normal 2 20 20" xfId="2396"/>
    <cellStyle name="Normal 2 20 20 2" xfId="2397"/>
    <cellStyle name="Normal 2 20 20 2 2" xfId="2398"/>
    <cellStyle name="Normal 2 20 20 3" xfId="2399"/>
    <cellStyle name="Normal 2 20 21" xfId="2400"/>
    <cellStyle name="Normal 2 20 21 2" xfId="2401"/>
    <cellStyle name="Normal 2 20 21 2 2" xfId="2402"/>
    <cellStyle name="Normal 2 20 21 3" xfId="2403"/>
    <cellStyle name="Normal 2 20 22" xfId="2404"/>
    <cellStyle name="Normal 2 20 22 2" xfId="2405"/>
    <cellStyle name="Normal 2 20 22 2 2" xfId="2406"/>
    <cellStyle name="Normal 2 20 22 3" xfId="2407"/>
    <cellStyle name="Normal 2 20 23" xfId="2408"/>
    <cellStyle name="Normal 2 20 23 2" xfId="2409"/>
    <cellStyle name="Normal 2 20 23 2 2" xfId="2410"/>
    <cellStyle name="Normal 2 20 23 3" xfId="2411"/>
    <cellStyle name="Normal 2 20 24" xfId="2412"/>
    <cellStyle name="Normal 2 20 24 2" xfId="2413"/>
    <cellStyle name="Normal 2 20 25" xfId="2414"/>
    <cellStyle name="Normal 2 20 3" xfId="2415"/>
    <cellStyle name="Normal 2 20 3 2" xfId="2416"/>
    <cellStyle name="Normal 2 20 3 2 2" xfId="2417"/>
    <cellStyle name="Normal 2 20 3 3" xfId="2418"/>
    <cellStyle name="Normal 2 20 4" xfId="2419"/>
    <cellStyle name="Normal 2 20 4 2" xfId="2420"/>
    <cellStyle name="Normal 2 20 4 2 2" xfId="2421"/>
    <cellStyle name="Normal 2 20 4 3" xfId="2422"/>
    <cellStyle name="Normal 2 20 5" xfId="2423"/>
    <cellStyle name="Normal 2 20 5 2" xfId="2424"/>
    <cellStyle name="Normal 2 20 5 2 2" xfId="2425"/>
    <cellStyle name="Normal 2 20 5 3" xfId="2426"/>
    <cellStyle name="Normal 2 20 6" xfId="2427"/>
    <cellStyle name="Normal 2 20 6 2" xfId="2428"/>
    <cellStyle name="Normal 2 20 6 2 2" xfId="2429"/>
    <cellStyle name="Normal 2 20 6 3" xfId="2430"/>
    <cellStyle name="Normal 2 20 7" xfId="2431"/>
    <cellStyle name="Normal 2 20 7 2" xfId="2432"/>
    <cellStyle name="Normal 2 20 7 2 2" xfId="2433"/>
    <cellStyle name="Normal 2 20 7 3" xfId="2434"/>
    <cellStyle name="Normal 2 20 8" xfId="2435"/>
    <cellStyle name="Normal 2 20 8 2" xfId="2436"/>
    <cellStyle name="Normal 2 20 8 2 2" xfId="2437"/>
    <cellStyle name="Normal 2 20 8 3" xfId="2438"/>
    <cellStyle name="Normal 2 20 9" xfId="2439"/>
    <cellStyle name="Normal 2 20 9 2" xfId="2440"/>
    <cellStyle name="Normal 2 20 9 2 2" xfId="2441"/>
    <cellStyle name="Normal 2 20 9 3" xfId="2442"/>
    <cellStyle name="Normal 2 21" xfId="2443"/>
    <cellStyle name="Normal 2 21 10" xfId="2444"/>
    <cellStyle name="Normal 2 21 10 2" xfId="2445"/>
    <cellStyle name="Normal 2 21 10 2 2" xfId="2446"/>
    <cellStyle name="Normal 2 21 10 3" xfId="2447"/>
    <cellStyle name="Normal 2 21 11" xfId="2448"/>
    <cellStyle name="Normal 2 21 11 2" xfId="2449"/>
    <cellStyle name="Normal 2 21 11 2 2" xfId="2450"/>
    <cellStyle name="Normal 2 21 11 3" xfId="2451"/>
    <cellStyle name="Normal 2 21 12" xfId="2452"/>
    <cellStyle name="Normal 2 21 12 2" xfId="2453"/>
    <cellStyle name="Normal 2 21 12 2 2" xfId="2454"/>
    <cellStyle name="Normal 2 21 12 3" xfId="2455"/>
    <cellStyle name="Normal 2 21 13" xfId="2456"/>
    <cellStyle name="Normal 2 21 13 2" xfId="2457"/>
    <cellStyle name="Normal 2 21 13 2 2" xfId="2458"/>
    <cellStyle name="Normal 2 21 13 3" xfId="2459"/>
    <cellStyle name="Normal 2 21 14" xfId="2460"/>
    <cellStyle name="Normal 2 21 14 2" xfId="2461"/>
    <cellStyle name="Normal 2 21 14 2 2" xfId="2462"/>
    <cellStyle name="Normal 2 21 14 3" xfId="2463"/>
    <cellStyle name="Normal 2 21 15" xfId="2464"/>
    <cellStyle name="Normal 2 21 15 2" xfId="2465"/>
    <cellStyle name="Normal 2 21 15 2 2" xfId="2466"/>
    <cellStyle name="Normal 2 21 15 3" xfId="2467"/>
    <cellStyle name="Normal 2 21 16" xfId="2468"/>
    <cellStyle name="Normal 2 21 16 2" xfId="2469"/>
    <cellStyle name="Normal 2 21 16 2 2" xfId="2470"/>
    <cellStyle name="Normal 2 21 16 3" xfId="2471"/>
    <cellStyle name="Normal 2 21 17" xfId="2472"/>
    <cellStyle name="Normal 2 21 17 2" xfId="2473"/>
    <cellStyle name="Normal 2 21 17 2 2" xfId="2474"/>
    <cellStyle name="Normal 2 21 17 3" xfId="2475"/>
    <cellStyle name="Normal 2 21 18" xfId="2476"/>
    <cellStyle name="Normal 2 21 18 2" xfId="2477"/>
    <cellStyle name="Normal 2 21 18 2 2" xfId="2478"/>
    <cellStyle name="Normal 2 21 18 3" xfId="2479"/>
    <cellStyle name="Normal 2 21 19" xfId="2480"/>
    <cellStyle name="Normal 2 21 19 2" xfId="2481"/>
    <cellStyle name="Normal 2 21 19 2 2" xfId="2482"/>
    <cellStyle name="Normal 2 21 19 3" xfId="2483"/>
    <cellStyle name="Normal 2 21 2" xfId="2484"/>
    <cellStyle name="Normal 2 21 2 2" xfId="2485"/>
    <cellStyle name="Normal 2 21 2 2 2" xfId="2486"/>
    <cellStyle name="Normal 2 21 2 3" xfId="2487"/>
    <cellStyle name="Normal 2 21 20" xfId="2488"/>
    <cellStyle name="Normal 2 21 20 2" xfId="2489"/>
    <cellStyle name="Normal 2 21 20 2 2" xfId="2490"/>
    <cellStyle name="Normal 2 21 20 3" xfId="2491"/>
    <cellStyle name="Normal 2 21 21" xfId="2492"/>
    <cellStyle name="Normal 2 21 21 2" xfId="2493"/>
    <cellStyle name="Normal 2 21 21 2 2" xfId="2494"/>
    <cellStyle name="Normal 2 21 21 3" xfId="2495"/>
    <cellStyle name="Normal 2 21 22" xfId="2496"/>
    <cellStyle name="Normal 2 21 22 2" xfId="2497"/>
    <cellStyle name="Normal 2 21 22 2 2" xfId="2498"/>
    <cellStyle name="Normal 2 21 22 3" xfId="2499"/>
    <cellStyle name="Normal 2 21 23" xfId="2500"/>
    <cellStyle name="Normal 2 21 23 2" xfId="2501"/>
    <cellStyle name="Normal 2 21 23 2 2" xfId="2502"/>
    <cellStyle name="Normal 2 21 23 3" xfId="2503"/>
    <cellStyle name="Normal 2 21 24" xfId="2504"/>
    <cellStyle name="Normal 2 21 24 2" xfId="2505"/>
    <cellStyle name="Normal 2 21 25" xfId="2506"/>
    <cellStyle name="Normal 2 21 3" xfId="2507"/>
    <cellStyle name="Normal 2 21 3 2" xfId="2508"/>
    <cellStyle name="Normal 2 21 3 2 2" xfId="2509"/>
    <cellStyle name="Normal 2 21 3 3" xfId="2510"/>
    <cellStyle name="Normal 2 21 4" xfId="2511"/>
    <cellStyle name="Normal 2 21 4 2" xfId="2512"/>
    <cellStyle name="Normal 2 21 4 2 2" xfId="2513"/>
    <cellStyle name="Normal 2 21 4 3" xfId="2514"/>
    <cellStyle name="Normal 2 21 5" xfId="2515"/>
    <cellStyle name="Normal 2 21 5 2" xfId="2516"/>
    <cellStyle name="Normal 2 21 5 2 2" xfId="2517"/>
    <cellStyle name="Normal 2 21 5 3" xfId="2518"/>
    <cellStyle name="Normal 2 21 6" xfId="2519"/>
    <cellStyle name="Normal 2 21 6 2" xfId="2520"/>
    <cellStyle name="Normal 2 21 6 2 2" xfId="2521"/>
    <cellStyle name="Normal 2 21 6 3" xfId="2522"/>
    <cellStyle name="Normal 2 21 7" xfId="2523"/>
    <cellStyle name="Normal 2 21 7 2" xfId="2524"/>
    <cellStyle name="Normal 2 21 7 2 2" xfId="2525"/>
    <cellStyle name="Normal 2 21 7 3" xfId="2526"/>
    <cellStyle name="Normal 2 21 8" xfId="2527"/>
    <cellStyle name="Normal 2 21 8 2" xfId="2528"/>
    <cellStyle name="Normal 2 21 8 2 2" xfId="2529"/>
    <cellStyle name="Normal 2 21 8 3" xfId="2530"/>
    <cellStyle name="Normal 2 21 9" xfId="2531"/>
    <cellStyle name="Normal 2 21 9 2" xfId="2532"/>
    <cellStyle name="Normal 2 21 9 2 2" xfId="2533"/>
    <cellStyle name="Normal 2 21 9 3" xfId="2534"/>
    <cellStyle name="Normal 2 22" xfId="2535"/>
    <cellStyle name="Normal 2 22 10" xfId="2536"/>
    <cellStyle name="Normal 2 22 10 2" xfId="2537"/>
    <cellStyle name="Normal 2 22 10 2 2" xfId="2538"/>
    <cellStyle name="Normal 2 22 10 3" xfId="2539"/>
    <cellStyle name="Normal 2 22 11" xfId="2540"/>
    <cellStyle name="Normal 2 22 11 2" xfId="2541"/>
    <cellStyle name="Normal 2 22 11 2 2" xfId="2542"/>
    <cellStyle name="Normal 2 22 11 3" xfId="2543"/>
    <cellStyle name="Normal 2 22 12" xfId="2544"/>
    <cellStyle name="Normal 2 22 12 2" xfId="2545"/>
    <cellStyle name="Normal 2 22 12 2 2" xfId="2546"/>
    <cellStyle name="Normal 2 22 12 3" xfId="2547"/>
    <cellStyle name="Normal 2 22 13" xfId="2548"/>
    <cellStyle name="Normal 2 22 13 2" xfId="2549"/>
    <cellStyle name="Normal 2 22 13 2 2" xfId="2550"/>
    <cellStyle name="Normal 2 22 13 3" xfId="2551"/>
    <cellStyle name="Normal 2 22 14" xfId="2552"/>
    <cellStyle name="Normal 2 22 14 2" xfId="2553"/>
    <cellStyle name="Normal 2 22 14 2 2" xfId="2554"/>
    <cellStyle name="Normal 2 22 14 3" xfId="2555"/>
    <cellStyle name="Normal 2 22 15" xfId="2556"/>
    <cellStyle name="Normal 2 22 15 2" xfId="2557"/>
    <cellStyle name="Normal 2 22 15 2 2" xfId="2558"/>
    <cellStyle name="Normal 2 22 15 3" xfId="2559"/>
    <cellStyle name="Normal 2 22 16" xfId="2560"/>
    <cellStyle name="Normal 2 22 16 2" xfId="2561"/>
    <cellStyle name="Normal 2 22 16 2 2" xfId="2562"/>
    <cellStyle name="Normal 2 22 16 3" xfId="2563"/>
    <cellStyle name="Normal 2 22 17" xfId="2564"/>
    <cellStyle name="Normal 2 22 17 2" xfId="2565"/>
    <cellStyle name="Normal 2 22 17 2 2" xfId="2566"/>
    <cellStyle name="Normal 2 22 17 3" xfId="2567"/>
    <cellStyle name="Normal 2 22 18" xfId="2568"/>
    <cellStyle name="Normal 2 22 18 2" xfId="2569"/>
    <cellStyle name="Normal 2 22 18 2 2" xfId="2570"/>
    <cellStyle name="Normal 2 22 18 3" xfId="2571"/>
    <cellStyle name="Normal 2 22 19" xfId="2572"/>
    <cellStyle name="Normal 2 22 19 2" xfId="2573"/>
    <cellStyle name="Normal 2 22 19 2 2" xfId="2574"/>
    <cellStyle name="Normal 2 22 19 3" xfId="2575"/>
    <cellStyle name="Normal 2 22 2" xfId="2576"/>
    <cellStyle name="Normal 2 22 2 2" xfId="2577"/>
    <cellStyle name="Normal 2 22 2 2 2" xfId="2578"/>
    <cellStyle name="Normal 2 22 2 3" xfId="2579"/>
    <cellStyle name="Normal 2 22 20" xfId="2580"/>
    <cellStyle name="Normal 2 22 20 2" xfId="2581"/>
    <cellStyle name="Normal 2 22 20 2 2" xfId="2582"/>
    <cellStyle name="Normal 2 22 20 3" xfId="2583"/>
    <cellStyle name="Normal 2 22 21" xfId="2584"/>
    <cellStyle name="Normal 2 22 21 2" xfId="2585"/>
    <cellStyle name="Normal 2 22 21 2 2" xfId="2586"/>
    <cellStyle name="Normal 2 22 21 3" xfId="2587"/>
    <cellStyle name="Normal 2 22 22" xfId="2588"/>
    <cellStyle name="Normal 2 22 22 2" xfId="2589"/>
    <cellStyle name="Normal 2 22 22 2 2" xfId="2590"/>
    <cellStyle name="Normal 2 22 22 3" xfId="2591"/>
    <cellStyle name="Normal 2 22 23" xfId="2592"/>
    <cellStyle name="Normal 2 22 23 2" xfId="2593"/>
    <cellStyle name="Normal 2 22 23 2 2" xfId="2594"/>
    <cellStyle name="Normal 2 22 23 3" xfId="2595"/>
    <cellStyle name="Normal 2 22 24" xfId="2596"/>
    <cellStyle name="Normal 2 22 24 2" xfId="2597"/>
    <cellStyle name="Normal 2 22 25" xfId="2598"/>
    <cellStyle name="Normal 2 22 3" xfId="2599"/>
    <cellStyle name="Normal 2 22 3 2" xfId="2600"/>
    <cellStyle name="Normal 2 22 3 2 2" xfId="2601"/>
    <cellStyle name="Normal 2 22 3 3" xfId="2602"/>
    <cellStyle name="Normal 2 22 4" xfId="2603"/>
    <cellStyle name="Normal 2 22 4 2" xfId="2604"/>
    <cellStyle name="Normal 2 22 4 2 2" xfId="2605"/>
    <cellStyle name="Normal 2 22 4 3" xfId="2606"/>
    <cellStyle name="Normal 2 22 5" xfId="2607"/>
    <cellStyle name="Normal 2 22 5 2" xfId="2608"/>
    <cellStyle name="Normal 2 22 5 2 2" xfId="2609"/>
    <cellStyle name="Normal 2 22 5 3" xfId="2610"/>
    <cellStyle name="Normal 2 22 6" xfId="2611"/>
    <cellStyle name="Normal 2 22 6 2" xfId="2612"/>
    <cellStyle name="Normal 2 22 6 2 2" xfId="2613"/>
    <cellStyle name="Normal 2 22 6 3" xfId="2614"/>
    <cellStyle name="Normal 2 22 7" xfId="2615"/>
    <cellStyle name="Normal 2 22 7 2" xfId="2616"/>
    <cellStyle name="Normal 2 22 7 2 2" xfId="2617"/>
    <cellStyle name="Normal 2 22 7 3" xfId="2618"/>
    <cellStyle name="Normal 2 22 8" xfId="2619"/>
    <cellStyle name="Normal 2 22 8 2" xfId="2620"/>
    <cellStyle name="Normal 2 22 8 2 2" xfId="2621"/>
    <cellStyle name="Normal 2 22 8 3" xfId="2622"/>
    <cellStyle name="Normal 2 22 9" xfId="2623"/>
    <cellStyle name="Normal 2 22 9 2" xfId="2624"/>
    <cellStyle name="Normal 2 22 9 2 2" xfId="2625"/>
    <cellStyle name="Normal 2 22 9 3" xfId="2626"/>
    <cellStyle name="Normal 2 23" xfId="2627"/>
    <cellStyle name="Normal 2 23 10" xfId="2628"/>
    <cellStyle name="Normal 2 23 10 2" xfId="2629"/>
    <cellStyle name="Normal 2 23 10 2 2" xfId="2630"/>
    <cellStyle name="Normal 2 23 10 3" xfId="2631"/>
    <cellStyle name="Normal 2 23 11" xfId="2632"/>
    <cellStyle name="Normal 2 23 11 2" xfId="2633"/>
    <cellStyle name="Normal 2 23 11 2 2" xfId="2634"/>
    <cellStyle name="Normal 2 23 11 3" xfId="2635"/>
    <cellStyle name="Normal 2 23 12" xfId="2636"/>
    <cellStyle name="Normal 2 23 12 2" xfId="2637"/>
    <cellStyle name="Normal 2 23 12 2 2" xfId="2638"/>
    <cellStyle name="Normal 2 23 12 3" xfId="2639"/>
    <cellStyle name="Normal 2 23 13" xfId="2640"/>
    <cellStyle name="Normal 2 23 13 2" xfId="2641"/>
    <cellStyle name="Normal 2 23 13 2 2" xfId="2642"/>
    <cellStyle name="Normal 2 23 13 3" xfId="2643"/>
    <cellStyle name="Normal 2 23 14" xfId="2644"/>
    <cellStyle name="Normal 2 23 14 2" xfId="2645"/>
    <cellStyle name="Normal 2 23 14 2 2" xfId="2646"/>
    <cellStyle name="Normal 2 23 14 3" xfId="2647"/>
    <cellStyle name="Normal 2 23 15" xfId="2648"/>
    <cellStyle name="Normal 2 23 15 2" xfId="2649"/>
    <cellStyle name="Normal 2 23 15 2 2" xfId="2650"/>
    <cellStyle name="Normal 2 23 15 3" xfId="2651"/>
    <cellStyle name="Normal 2 23 16" xfId="2652"/>
    <cellStyle name="Normal 2 23 16 2" xfId="2653"/>
    <cellStyle name="Normal 2 23 16 2 2" xfId="2654"/>
    <cellStyle name="Normal 2 23 16 3" xfId="2655"/>
    <cellStyle name="Normal 2 23 17" xfId="2656"/>
    <cellStyle name="Normal 2 23 17 2" xfId="2657"/>
    <cellStyle name="Normal 2 23 17 2 2" xfId="2658"/>
    <cellStyle name="Normal 2 23 17 3" xfId="2659"/>
    <cellStyle name="Normal 2 23 18" xfId="2660"/>
    <cellStyle name="Normal 2 23 18 2" xfId="2661"/>
    <cellStyle name="Normal 2 23 18 2 2" xfId="2662"/>
    <cellStyle name="Normal 2 23 18 3" xfId="2663"/>
    <cellStyle name="Normal 2 23 19" xfId="2664"/>
    <cellStyle name="Normal 2 23 19 2" xfId="2665"/>
    <cellStyle name="Normal 2 23 19 2 2" xfId="2666"/>
    <cellStyle name="Normal 2 23 19 3" xfId="2667"/>
    <cellStyle name="Normal 2 23 2" xfId="2668"/>
    <cellStyle name="Normal 2 23 2 2" xfId="2669"/>
    <cellStyle name="Normal 2 23 2 2 2" xfId="2670"/>
    <cellStyle name="Normal 2 23 2 3" xfId="2671"/>
    <cellStyle name="Normal 2 23 20" xfId="2672"/>
    <cellStyle name="Normal 2 23 20 2" xfId="2673"/>
    <cellStyle name="Normal 2 23 20 2 2" xfId="2674"/>
    <cellStyle name="Normal 2 23 20 3" xfId="2675"/>
    <cellStyle name="Normal 2 23 21" xfId="2676"/>
    <cellStyle name="Normal 2 23 21 2" xfId="2677"/>
    <cellStyle name="Normal 2 23 21 2 2" xfId="2678"/>
    <cellStyle name="Normal 2 23 21 3" xfId="2679"/>
    <cellStyle name="Normal 2 23 22" xfId="2680"/>
    <cellStyle name="Normal 2 23 22 2" xfId="2681"/>
    <cellStyle name="Normal 2 23 22 2 2" xfId="2682"/>
    <cellStyle name="Normal 2 23 22 3" xfId="2683"/>
    <cellStyle name="Normal 2 23 23" xfId="2684"/>
    <cellStyle name="Normal 2 23 23 2" xfId="2685"/>
    <cellStyle name="Normal 2 23 23 2 2" xfId="2686"/>
    <cellStyle name="Normal 2 23 23 3" xfId="2687"/>
    <cellStyle name="Normal 2 23 24" xfId="2688"/>
    <cellStyle name="Normal 2 23 24 2" xfId="2689"/>
    <cellStyle name="Normal 2 23 25" xfId="2690"/>
    <cellStyle name="Normal 2 23 3" xfId="2691"/>
    <cellStyle name="Normal 2 23 3 2" xfId="2692"/>
    <cellStyle name="Normal 2 23 3 2 2" xfId="2693"/>
    <cellStyle name="Normal 2 23 3 3" xfId="2694"/>
    <cellStyle name="Normal 2 23 4" xfId="2695"/>
    <cellStyle name="Normal 2 23 4 2" xfId="2696"/>
    <cellStyle name="Normal 2 23 4 2 2" xfId="2697"/>
    <cellStyle name="Normal 2 23 4 3" xfId="2698"/>
    <cellStyle name="Normal 2 23 5" xfId="2699"/>
    <cellStyle name="Normal 2 23 5 2" xfId="2700"/>
    <cellStyle name="Normal 2 23 5 2 2" xfId="2701"/>
    <cellStyle name="Normal 2 23 5 3" xfId="2702"/>
    <cellStyle name="Normal 2 23 6" xfId="2703"/>
    <cellStyle name="Normal 2 23 6 2" xfId="2704"/>
    <cellStyle name="Normal 2 23 6 2 2" xfId="2705"/>
    <cellStyle name="Normal 2 23 6 3" xfId="2706"/>
    <cellStyle name="Normal 2 23 7" xfId="2707"/>
    <cellStyle name="Normal 2 23 7 2" xfId="2708"/>
    <cellStyle name="Normal 2 23 7 2 2" xfId="2709"/>
    <cellStyle name="Normal 2 23 7 3" xfId="2710"/>
    <cellStyle name="Normal 2 23 8" xfId="2711"/>
    <cellStyle name="Normal 2 23 8 2" xfId="2712"/>
    <cellStyle name="Normal 2 23 8 2 2" xfId="2713"/>
    <cellStyle name="Normal 2 23 8 3" xfId="2714"/>
    <cellStyle name="Normal 2 23 9" xfId="2715"/>
    <cellStyle name="Normal 2 23 9 2" xfId="2716"/>
    <cellStyle name="Normal 2 23 9 2 2" xfId="2717"/>
    <cellStyle name="Normal 2 23 9 3" xfId="2718"/>
    <cellStyle name="Normal 2 24" xfId="2719"/>
    <cellStyle name="Normal 2 24 10" xfId="2720"/>
    <cellStyle name="Normal 2 24 10 2" xfId="2721"/>
    <cellStyle name="Normal 2 24 10 2 2" xfId="2722"/>
    <cellStyle name="Normal 2 24 10 3" xfId="2723"/>
    <cellStyle name="Normal 2 24 11" xfId="2724"/>
    <cellStyle name="Normal 2 24 11 2" xfId="2725"/>
    <cellStyle name="Normal 2 24 11 2 2" xfId="2726"/>
    <cellStyle name="Normal 2 24 11 3" xfId="2727"/>
    <cellStyle name="Normal 2 24 12" xfId="2728"/>
    <cellStyle name="Normal 2 24 12 2" xfId="2729"/>
    <cellStyle name="Normal 2 24 12 2 2" xfId="2730"/>
    <cellStyle name="Normal 2 24 12 3" xfId="2731"/>
    <cellStyle name="Normal 2 24 13" xfId="2732"/>
    <cellStyle name="Normal 2 24 13 2" xfId="2733"/>
    <cellStyle name="Normal 2 24 13 2 2" xfId="2734"/>
    <cellStyle name="Normal 2 24 13 3" xfId="2735"/>
    <cellStyle name="Normal 2 24 14" xfId="2736"/>
    <cellStyle name="Normal 2 24 14 2" xfId="2737"/>
    <cellStyle name="Normal 2 24 14 2 2" xfId="2738"/>
    <cellStyle name="Normal 2 24 14 3" xfId="2739"/>
    <cellStyle name="Normal 2 24 15" xfId="2740"/>
    <cellStyle name="Normal 2 24 15 2" xfId="2741"/>
    <cellStyle name="Normal 2 24 15 2 2" xfId="2742"/>
    <cellStyle name="Normal 2 24 15 3" xfId="2743"/>
    <cellStyle name="Normal 2 24 16" xfId="2744"/>
    <cellStyle name="Normal 2 24 16 2" xfId="2745"/>
    <cellStyle name="Normal 2 24 16 2 2" xfId="2746"/>
    <cellStyle name="Normal 2 24 16 3" xfId="2747"/>
    <cellStyle name="Normal 2 24 17" xfId="2748"/>
    <cellStyle name="Normal 2 24 17 2" xfId="2749"/>
    <cellStyle name="Normal 2 24 17 2 2" xfId="2750"/>
    <cellStyle name="Normal 2 24 17 3" xfId="2751"/>
    <cellStyle name="Normal 2 24 18" xfId="2752"/>
    <cellStyle name="Normal 2 24 18 2" xfId="2753"/>
    <cellStyle name="Normal 2 24 18 2 2" xfId="2754"/>
    <cellStyle name="Normal 2 24 18 3" xfId="2755"/>
    <cellStyle name="Normal 2 24 19" xfId="2756"/>
    <cellStyle name="Normal 2 24 19 2" xfId="2757"/>
    <cellStyle name="Normal 2 24 19 2 2" xfId="2758"/>
    <cellStyle name="Normal 2 24 19 3" xfId="2759"/>
    <cellStyle name="Normal 2 24 2" xfId="2760"/>
    <cellStyle name="Normal 2 24 2 2" xfId="2761"/>
    <cellStyle name="Normal 2 24 2 2 2" xfId="2762"/>
    <cellStyle name="Normal 2 24 2 3" xfId="2763"/>
    <cellStyle name="Normal 2 24 20" xfId="2764"/>
    <cellStyle name="Normal 2 24 20 2" xfId="2765"/>
    <cellStyle name="Normal 2 24 20 2 2" xfId="2766"/>
    <cellStyle name="Normal 2 24 20 3" xfId="2767"/>
    <cellStyle name="Normal 2 24 21" xfId="2768"/>
    <cellStyle name="Normal 2 24 21 2" xfId="2769"/>
    <cellStyle name="Normal 2 24 21 2 2" xfId="2770"/>
    <cellStyle name="Normal 2 24 21 3" xfId="2771"/>
    <cellStyle name="Normal 2 24 22" xfId="2772"/>
    <cellStyle name="Normal 2 24 22 2" xfId="2773"/>
    <cellStyle name="Normal 2 24 22 2 2" xfId="2774"/>
    <cellStyle name="Normal 2 24 22 3" xfId="2775"/>
    <cellStyle name="Normal 2 24 23" xfId="2776"/>
    <cellStyle name="Normal 2 24 23 2" xfId="2777"/>
    <cellStyle name="Normal 2 24 23 2 2" xfId="2778"/>
    <cellStyle name="Normal 2 24 23 3" xfId="2779"/>
    <cellStyle name="Normal 2 24 24" xfId="2780"/>
    <cellStyle name="Normal 2 24 24 2" xfId="2781"/>
    <cellStyle name="Normal 2 24 25" xfId="2782"/>
    <cellStyle name="Normal 2 24 3" xfId="2783"/>
    <cellStyle name="Normal 2 24 3 2" xfId="2784"/>
    <cellStyle name="Normal 2 24 3 2 2" xfId="2785"/>
    <cellStyle name="Normal 2 24 3 3" xfId="2786"/>
    <cellStyle name="Normal 2 24 4" xfId="2787"/>
    <cellStyle name="Normal 2 24 4 2" xfId="2788"/>
    <cellStyle name="Normal 2 24 4 2 2" xfId="2789"/>
    <cellStyle name="Normal 2 24 4 3" xfId="2790"/>
    <cellStyle name="Normal 2 24 5" xfId="2791"/>
    <cellStyle name="Normal 2 24 5 2" xfId="2792"/>
    <cellStyle name="Normal 2 24 5 2 2" xfId="2793"/>
    <cellStyle name="Normal 2 24 5 3" xfId="2794"/>
    <cellStyle name="Normal 2 24 6" xfId="2795"/>
    <cellStyle name="Normal 2 24 6 2" xfId="2796"/>
    <cellStyle name="Normal 2 24 6 2 2" xfId="2797"/>
    <cellStyle name="Normal 2 24 6 3" xfId="2798"/>
    <cellStyle name="Normal 2 24 7" xfId="2799"/>
    <cellStyle name="Normal 2 24 7 2" xfId="2800"/>
    <cellStyle name="Normal 2 24 7 2 2" xfId="2801"/>
    <cellStyle name="Normal 2 24 7 3" xfId="2802"/>
    <cellStyle name="Normal 2 24 8" xfId="2803"/>
    <cellStyle name="Normal 2 24 8 2" xfId="2804"/>
    <cellStyle name="Normal 2 24 8 2 2" xfId="2805"/>
    <cellStyle name="Normal 2 24 8 3" xfId="2806"/>
    <cellStyle name="Normal 2 24 9" xfId="2807"/>
    <cellStyle name="Normal 2 24 9 2" xfId="2808"/>
    <cellStyle name="Normal 2 24 9 2 2" xfId="2809"/>
    <cellStyle name="Normal 2 24 9 3" xfId="2810"/>
    <cellStyle name="Normal 2 25" xfId="2811"/>
    <cellStyle name="Normal 2 25 10" xfId="2812"/>
    <cellStyle name="Normal 2 25 10 2" xfId="2813"/>
    <cellStyle name="Normal 2 25 10 2 2" xfId="2814"/>
    <cellStyle name="Normal 2 25 10 3" xfId="2815"/>
    <cellStyle name="Normal 2 25 11" xfId="2816"/>
    <cellStyle name="Normal 2 25 11 2" xfId="2817"/>
    <cellStyle name="Normal 2 25 11 2 2" xfId="2818"/>
    <cellStyle name="Normal 2 25 11 3" xfId="2819"/>
    <cellStyle name="Normal 2 25 12" xfId="2820"/>
    <cellStyle name="Normal 2 25 12 2" xfId="2821"/>
    <cellStyle name="Normal 2 25 12 2 2" xfId="2822"/>
    <cellStyle name="Normal 2 25 12 3" xfId="2823"/>
    <cellStyle name="Normal 2 25 13" xfId="2824"/>
    <cellStyle name="Normal 2 25 13 2" xfId="2825"/>
    <cellStyle name="Normal 2 25 13 2 2" xfId="2826"/>
    <cellStyle name="Normal 2 25 13 3" xfId="2827"/>
    <cellStyle name="Normal 2 25 14" xfId="2828"/>
    <cellStyle name="Normal 2 25 14 2" xfId="2829"/>
    <cellStyle name="Normal 2 25 14 2 2" xfId="2830"/>
    <cellStyle name="Normal 2 25 14 3" xfId="2831"/>
    <cellStyle name="Normal 2 25 15" xfId="2832"/>
    <cellStyle name="Normal 2 25 15 2" xfId="2833"/>
    <cellStyle name="Normal 2 25 15 2 2" xfId="2834"/>
    <cellStyle name="Normal 2 25 15 3" xfId="2835"/>
    <cellStyle name="Normal 2 25 16" xfId="2836"/>
    <cellStyle name="Normal 2 25 16 2" xfId="2837"/>
    <cellStyle name="Normal 2 25 16 2 2" xfId="2838"/>
    <cellStyle name="Normal 2 25 16 3" xfId="2839"/>
    <cellStyle name="Normal 2 25 17" xfId="2840"/>
    <cellStyle name="Normal 2 25 17 2" xfId="2841"/>
    <cellStyle name="Normal 2 25 17 2 2" xfId="2842"/>
    <cellStyle name="Normal 2 25 17 3" xfId="2843"/>
    <cellStyle name="Normal 2 25 18" xfId="2844"/>
    <cellStyle name="Normal 2 25 18 2" xfId="2845"/>
    <cellStyle name="Normal 2 25 18 2 2" xfId="2846"/>
    <cellStyle name="Normal 2 25 18 3" xfId="2847"/>
    <cellStyle name="Normal 2 25 19" xfId="2848"/>
    <cellStyle name="Normal 2 25 19 2" xfId="2849"/>
    <cellStyle name="Normal 2 25 19 2 2" xfId="2850"/>
    <cellStyle name="Normal 2 25 19 3" xfId="2851"/>
    <cellStyle name="Normal 2 25 2" xfId="2852"/>
    <cellStyle name="Normal 2 25 2 2" xfId="2853"/>
    <cellStyle name="Normal 2 25 2 2 2" xfId="2854"/>
    <cellStyle name="Normal 2 25 2 3" xfId="2855"/>
    <cellStyle name="Normal 2 25 20" xfId="2856"/>
    <cellStyle name="Normal 2 25 20 2" xfId="2857"/>
    <cellStyle name="Normal 2 25 20 2 2" xfId="2858"/>
    <cellStyle name="Normal 2 25 20 3" xfId="2859"/>
    <cellStyle name="Normal 2 25 21" xfId="2860"/>
    <cellStyle name="Normal 2 25 21 2" xfId="2861"/>
    <cellStyle name="Normal 2 25 21 2 2" xfId="2862"/>
    <cellStyle name="Normal 2 25 21 3" xfId="2863"/>
    <cellStyle name="Normal 2 25 22" xfId="2864"/>
    <cellStyle name="Normal 2 25 22 2" xfId="2865"/>
    <cellStyle name="Normal 2 25 22 2 2" xfId="2866"/>
    <cellStyle name="Normal 2 25 22 3" xfId="2867"/>
    <cellStyle name="Normal 2 25 23" xfId="2868"/>
    <cellStyle name="Normal 2 25 23 2" xfId="2869"/>
    <cellStyle name="Normal 2 25 23 2 2" xfId="2870"/>
    <cellStyle name="Normal 2 25 23 3" xfId="2871"/>
    <cellStyle name="Normal 2 25 24" xfId="2872"/>
    <cellStyle name="Normal 2 25 24 2" xfId="2873"/>
    <cellStyle name="Normal 2 25 25" xfId="2874"/>
    <cellStyle name="Normal 2 25 3" xfId="2875"/>
    <cellStyle name="Normal 2 25 3 2" xfId="2876"/>
    <cellStyle name="Normal 2 25 3 2 2" xfId="2877"/>
    <cellStyle name="Normal 2 25 3 3" xfId="2878"/>
    <cellStyle name="Normal 2 25 4" xfId="2879"/>
    <cellStyle name="Normal 2 25 4 2" xfId="2880"/>
    <cellStyle name="Normal 2 25 4 2 2" xfId="2881"/>
    <cellStyle name="Normal 2 25 4 3" xfId="2882"/>
    <cellStyle name="Normal 2 25 5" xfId="2883"/>
    <cellStyle name="Normal 2 25 5 2" xfId="2884"/>
    <cellStyle name="Normal 2 25 5 2 2" xfId="2885"/>
    <cellStyle name="Normal 2 25 5 3" xfId="2886"/>
    <cellStyle name="Normal 2 25 6" xfId="2887"/>
    <cellStyle name="Normal 2 25 6 2" xfId="2888"/>
    <cellStyle name="Normal 2 25 6 2 2" xfId="2889"/>
    <cellStyle name="Normal 2 25 6 3" xfId="2890"/>
    <cellStyle name="Normal 2 25 7" xfId="2891"/>
    <cellStyle name="Normal 2 25 7 2" xfId="2892"/>
    <cellStyle name="Normal 2 25 7 2 2" xfId="2893"/>
    <cellStyle name="Normal 2 25 7 3" xfId="2894"/>
    <cellStyle name="Normal 2 25 8" xfId="2895"/>
    <cellStyle name="Normal 2 25 8 2" xfId="2896"/>
    <cellStyle name="Normal 2 25 8 2 2" xfId="2897"/>
    <cellStyle name="Normal 2 25 8 3" xfId="2898"/>
    <cellStyle name="Normal 2 25 9" xfId="2899"/>
    <cellStyle name="Normal 2 25 9 2" xfId="2900"/>
    <cellStyle name="Normal 2 25 9 2 2" xfId="2901"/>
    <cellStyle name="Normal 2 25 9 3" xfId="2902"/>
    <cellStyle name="Normal 2 26" xfId="2903"/>
    <cellStyle name="Normal 2 26 10" xfId="2904"/>
    <cellStyle name="Normal 2 26 10 2" xfId="2905"/>
    <cellStyle name="Normal 2 26 10 2 2" xfId="2906"/>
    <cellStyle name="Normal 2 26 10 3" xfId="2907"/>
    <cellStyle name="Normal 2 26 11" xfId="2908"/>
    <cellStyle name="Normal 2 26 11 2" xfId="2909"/>
    <cellStyle name="Normal 2 26 11 2 2" xfId="2910"/>
    <cellStyle name="Normal 2 26 11 3" xfId="2911"/>
    <cellStyle name="Normal 2 26 12" xfId="2912"/>
    <cellStyle name="Normal 2 26 12 2" xfId="2913"/>
    <cellStyle name="Normal 2 26 12 2 2" xfId="2914"/>
    <cellStyle name="Normal 2 26 12 3" xfId="2915"/>
    <cellStyle name="Normal 2 26 13" xfId="2916"/>
    <cellStyle name="Normal 2 26 13 2" xfId="2917"/>
    <cellStyle name="Normal 2 26 13 2 2" xfId="2918"/>
    <cellStyle name="Normal 2 26 13 3" xfId="2919"/>
    <cellStyle name="Normal 2 26 14" xfId="2920"/>
    <cellStyle name="Normal 2 26 14 2" xfId="2921"/>
    <cellStyle name="Normal 2 26 14 2 2" xfId="2922"/>
    <cellStyle name="Normal 2 26 14 3" xfId="2923"/>
    <cellStyle name="Normal 2 26 15" xfId="2924"/>
    <cellStyle name="Normal 2 26 15 2" xfId="2925"/>
    <cellStyle name="Normal 2 26 15 2 2" xfId="2926"/>
    <cellStyle name="Normal 2 26 15 3" xfId="2927"/>
    <cellStyle name="Normal 2 26 16" xfId="2928"/>
    <cellStyle name="Normal 2 26 16 2" xfId="2929"/>
    <cellStyle name="Normal 2 26 16 2 2" xfId="2930"/>
    <cellStyle name="Normal 2 26 16 3" xfId="2931"/>
    <cellStyle name="Normal 2 26 17" xfId="2932"/>
    <cellStyle name="Normal 2 26 17 2" xfId="2933"/>
    <cellStyle name="Normal 2 26 17 2 2" xfId="2934"/>
    <cellStyle name="Normal 2 26 17 3" xfId="2935"/>
    <cellStyle name="Normal 2 26 18" xfId="2936"/>
    <cellStyle name="Normal 2 26 18 2" xfId="2937"/>
    <cellStyle name="Normal 2 26 18 2 2" xfId="2938"/>
    <cellStyle name="Normal 2 26 18 3" xfId="2939"/>
    <cellStyle name="Normal 2 26 19" xfId="2940"/>
    <cellStyle name="Normal 2 26 19 2" xfId="2941"/>
    <cellStyle name="Normal 2 26 19 2 2" xfId="2942"/>
    <cellStyle name="Normal 2 26 19 3" xfId="2943"/>
    <cellStyle name="Normal 2 26 2" xfId="2944"/>
    <cellStyle name="Normal 2 26 2 2" xfId="2945"/>
    <cellStyle name="Normal 2 26 2 2 2" xfId="2946"/>
    <cellStyle name="Normal 2 26 2 3" xfId="2947"/>
    <cellStyle name="Normal 2 26 20" xfId="2948"/>
    <cellStyle name="Normal 2 26 20 2" xfId="2949"/>
    <cellStyle name="Normal 2 26 20 2 2" xfId="2950"/>
    <cellStyle name="Normal 2 26 20 3" xfId="2951"/>
    <cellStyle name="Normal 2 26 21" xfId="2952"/>
    <cellStyle name="Normal 2 26 21 2" xfId="2953"/>
    <cellStyle name="Normal 2 26 21 2 2" xfId="2954"/>
    <cellStyle name="Normal 2 26 21 3" xfId="2955"/>
    <cellStyle name="Normal 2 26 22" xfId="2956"/>
    <cellStyle name="Normal 2 26 22 2" xfId="2957"/>
    <cellStyle name="Normal 2 26 22 2 2" xfId="2958"/>
    <cellStyle name="Normal 2 26 22 3" xfId="2959"/>
    <cellStyle name="Normal 2 26 23" xfId="2960"/>
    <cellStyle name="Normal 2 26 23 2" xfId="2961"/>
    <cellStyle name="Normal 2 26 23 2 2" xfId="2962"/>
    <cellStyle name="Normal 2 26 23 3" xfId="2963"/>
    <cellStyle name="Normal 2 26 24" xfId="2964"/>
    <cellStyle name="Normal 2 26 24 2" xfId="2965"/>
    <cellStyle name="Normal 2 26 25" xfId="2966"/>
    <cellStyle name="Normal 2 26 3" xfId="2967"/>
    <cellStyle name="Normal 2 26 3 2" xfId="2968"/>
    <cellStyle name="Normal 2 26 3 2 2" xfId="2969"/>
    <cellStyle name="Normal 2 26 3 3" xfId="2970"/>
    <cellStyle name="Normal 2 26 4" xfId="2971"/>
    <cellStyle name="Normal 2 26 4 2" xfId="2972"/>
    <cellStyle name="Normal 2 26 4 2 2" xfId="2973"/>
    <cellStyle name="Normal 2 26 4 3" xfId="2974"/>
    <cellStyle name="Normal 2 26 5" xfId="2975"/>
    <cellStyle name="Normal 2 26 5 2" xfId="2976"/>
    <cellStyle name="Normal 2 26 5 2 2" xfId="2977"/>
    <cellStyle name="Normal 2 26 5 3" xfId="2978"/>
    <cellStyle name="Normal 2 26 6" xfId="2979"/>
    <cellStyle name="Normal 2 26 6 2" xfId="2980"/>
    <cellStyle name="Normal 2 26 6 2 2" xfId="2981"/>
    <cellStyle name="Normal 2 26 6 3" xfId="2982"/>
    <cellStyle name="Normal 2 26 7" xfId="2983"/>
    <cellStyle name="Normal 2 26 7 2" xfId="2984"/>
    <cellStyle name="Normal 2 26 7 2 2" xfId="2985"/>
    <cellStyle name="Normal 2 26 7 3" xfId="2986"/>
    <cellStyle name="Normal 2 26 8" xfId="2987"/>
    <cellStyle name="Normal 2 26 8 2" xfId="2988"/>
    <cellStyle name="Normal 2 26 8 2 2" xfId="2989"/>
    <cellStyle name="Normal 2 26 8 3" xfId="2990"/>
    <cellStyle name="Normal 2 26 9" xfId="2991"/>
    <cellStyle name="Normal 2 26 9 2" xfId="2992"/>
    <cellStyle name="Normal 2 26 9 2 2" xfId="2993"/>
    <cellStyle name="Normal 2 26 9 3" xfId="2994"/>
    <cellStyle name="Normal 2 27" xfId="2995"/>
    <cellStyle name="Normal 2 27 10" xfId="2996"/>
    <cellStyle name="Normal 2 27 10 2" xfId="2997"/>
    <cellStyle name="Normal 2 27 10 2 2" xfId="2998"/>
    <cellStyle name="Normal 2 27 10 3" xfId="2999"/>
    <cellStyle name="Normal 2 27 11" xfId="3000"/>
    <cellStyle name="Normal 2 27 11 2" xfId="3001"/>
    <cellStyle name="Normal 2 27 11 2 2" xfId="3002"/>
    <cellStyle name="Normal 2 27 11 3" xfId="3003"/>
    <cellStyle name="Normal 2 27 12" xfId="3004"/>
    <cellStyle name="Normal 2 27 12 2" xfId="3005"/>
    <cellStyle name="Normal 2 27 12 2 2" xfId="3006"/>
    <cellStyle name="Normal 2 27 12 3" xfId="3007"/>
    <cellStyle name="Normal 2 27 13" xfId="3008"/>
    <cellStyle name="Normal 2 27 13 2" xfId="3009"/>
    <cellStyle name="Normal 2 27 13 2 2" xfId="3010"/>
    <cellStyle name="Normal 2 27 13 3" xfId="3011"/>
    <cellStyle name="Normal 2 27 14" xfId="3012"/>
    <cellStyle name="Normal 2 27 14 2" xfId="3013"/>
    <cellStyle name="Normal 2 27 14 2 2" xfId="3014"/>
    <cellStyle name="Normal 2 27 14 3" xfId="3015"/>
    <cellStyle name="Normal 2 27 15" xfId="3016"/>
    <cellStyle name="Normal 2 27 15 2" xfId="3017"/>
    <cellStyle name="Normal 2 27 15 2 2" xfId="3018"/>
    <cellStyle name="Normal 2 27 15 3" xfId="3019"/>
    <cellStyle name="Normal 2 27 16" xfId="3020"/>
    <cellStyle name="Normal 2 27 16 2" xfId="3021"/>
    <cellStyle name="Normal 2 27 16 2 2" xfId="3022"/>
    <cellStyle name="Normal 2 27 16 3" xfId="3023"/>
    <cellStyle name="Normal 2 27 17" xfId="3024"/>
    <cellStyle name="Normal 2 27 17 2" xfId="3025"/>
    <cellStyle name="Normal 2 27 17 2 2" xfId="3026"/>
    <cellStyle name="Normal 2 27 17 3" xfId="3027"/>
    <cellStyle name="Normal 2 27 18" xfId="3028"/>
    <cellStyle name="Normal 2 27 18 2" xfId="3029"/>
    <cellStyle name="Normal 2 27 18 2 2" xfId="3030"/>
    <cellStyle name="Normal 2 27 18 3" xfId="3031"/>
    <cellStyle name="Normal 2 27 19" xfId="3032"/>
    <cellStyle name="Normal 2 27 19 2" xfId="3033"/>
    <cellStyle name="Normal 2 27 19 2 2" xfId="3034"/>
    <cellStyle name="Normal 2 27 19 3" xfId="3035"/>
    <cellStyle name="Normal 2 27 2" xfId="3036"/>
    <cellStyle name="Normal 2 27 2 2" xfId="3037"/>
    <cellStyle name="Normal 2 27 2 2 2" xfId="3038"/>
    <cellStyle name="Normal 2 27 2 3" xfId="3039"/>
    <cellStyle name="Normal 2 27 20" xfId="3040"/>
    <cellStyle name="Normal 2 27 20 2" xfId="3041"/>
    <cellStyle name="Normal 2 27 20 2 2" xfId="3042"/>
    <cellStyle name="Normal 2 27 20 3" xfId="3043"/>
    <cellStyle name="Normal 2 27 21" xfId="3044"/>
    <cellStyle name="Normal 2 27 21 2" xfId="3045"/>
    <cellStyle name="Normal 2 27 21 2 2" xfId="3046"/>
    <cellStyle name="Normal 2 27 21 3" xfId="3047"/>
    <cellStyle name="Normal 2 27 22" xfId="3048"/>
    <cellStyle name="Normal 2 27 22 2" xfId="3049"/>
    <cellStyle name="Normal 2 27 22 2 2" xfId="3050"/>
    <cellStyle name="Normal 2 27 22 3" xfId="3051"/>
    <cellStyle name="Normal 2 27 23" xfId="3052"/>
    <cellStyle name="Normal 2 27 23 2" xfId="3053"/>
    <cellStyle name="Normal 2 27 23 2 2" xfId="3054"/>
    <cellStyle name="Normal 2 27 23 3" xfId="3055"/>
    <cellStyle name="Normal 2 27 24" xfId="3056"/>
    <cellStyle name="Normal 2 27 24 2" xfId="3057"/>
    <cellStyle name="Normal 2 27 25" xfId="3058"/>
    <cellStyle name="Normal 2 27 3" xfId="3059"/>
    <cellStyle name="Normal 2 27 3 2" xfId="3060"/>
    <cellStyle name="Normal 2 27 3 2 2" xfId="3061"/>
    <cellStyle name="Normal 2 27 3 3" xfId="3062"/>
    <cellStyle name="Normal 2 27 4" xfId="3063"/>
    <cellStyle name="Normal 2 27 4 2" xfId="3064"/>
    <cellStyle name="Normal 2 27 4 2 2" xfId="3065"/>
    <cellStyle name="Normal 2 27 4 3" xfId="3066"/>
    <cellStyle name="Normal 2 27 5" xfId="3067"/>
    <cellStyle name="Normal 2 27 5 2" xfId="3068"/>
    <cellStyle name="Normal 2 27 5 2 2" xfId="3069"/>
    <cellStyle name="Normal 2 27 5 3" xfId="3070"/>
    <cellStyle name="Normal 2 27 6" xfId="3071"/>
    <cellStyle name="Normal 2 27 6 2" xfId="3072"/>
    <cellStyle name="Normal 2 27 6 2 2" xfId="3073"/>
    <cellStyle name="Normal 2 27 6 3" xfId="3074"/>
    <cellStyle name="Normal 2 27 7" xfId="3075"/>
    <cellStyle name="Normal 2 27 7 2" xfId="3076"/>
    <cellStyle name="Normal 2 27 7 2 2" xfId="3077"/>
    <cellStyle name="Normal 2 27 7 3" xfId="3078"/>
    <cellStyle name="Normal 2 27 8" xfId="3079"/>
    <cellStyle name="Normal 2 27 8 2" xfId="3080"/>
    <cellStyle name="Normal 2 27 8 2 2" xfId="3081"/>
    <cellStyle name="Normal 2 27 8 3" xfId="3082"/>
    <cellStyle name="Normal 2 27 9" xfId="3083"/>
    <cellStyle name="Normal 2 27 9 2" xfId="3084"/>
    <cellStyle name="Normal 2 27 9 2 2" xfId="3085"/>
    <cellStyle name="Normal 2 27 9 3" xfId="3086"/>
    <cellStyle name="Normal 2 28" xfId="3087"/>
    <cellStyle name="Normal 2 28 10" xfId="3088"/>
    <cellStyle name="Normal 2 28 10 2" xfId="3089"/>
    <cellStyle name="Normal 2 28 10 2 2" xfId="3090"/>
    <cellStyle name="Normal 2 28 10 3" xfId="3091"/>
    <cellStyle name="Normal 2 28 11" xfId="3092"/>
    <cellStyle name="Normal 2 28 11 2" xfId="3093"/>
    <cellStyle name="Normal 2 28 11 2 2" xfId="3094"/>
    <cellStyle name="Normal 2 28 11 3" xfId="3095"/>
    <cellStyle name="Normal 2 28 12" xfId="3096"/>
    <cellStyle name="Normal 2 28 12 2" xfId="3097"/>
    <cellStyle name="Normal 2 28 12 2 2" xfId="3098"/>
    <cellStyle name="Normal 2 28 12 3" xfId="3099"/>
    <cellStyle name="Normal 2 28 13" xfId="3100"/>
    <cellStyle name="Normal 2 28 13 2" xfId="3101"/>
    <cellStyle name="Normal 2 28 13 2 2" xfId="3102"/>
    <cellStyle name="Normal 2 28 13 3" xfId="3103"/>
    <cellStyle name="Normal 2 28 14" xfId="3104"/>
    <cellStyle name="Normal 2 28 14 2" xfId="3105"/>
    <cellStyle name="Normal 2 28 14 2 2" xfId="3106"/>
    <cellStyle name="Normal 2 28 14 3" xfId="3107"/>
    <cellStyle name="Normal 2 28 15" xfId="3108"/>
    <cellStyle name="Normal 2 28 15 2" xfId="3109"/>
    <cellStyle name="Normal 2 28 15 2 2" xfId="3110"/>
    <cellStyle name="Normal 2 28 15 3" xfId="3111"/>
    <cellStyle name="Normal 2 28 16" xfId="3112"/>
    <cellStyle name="Normal 2 28 16 2" xfId="3113"/>
    <cellStyle name="Normal 2 28 16 2 2" xfId="3114"/>
    <cellStyle name="Normal 2 28 16 3" xfId="3115"/>
    <cellStyle name="Normal 2 28 17" xfId="3116"/>
    <cellStyle name="Normal 2 28 17 2" xfId="3117"/>
    <cellStyle name="Normal 2 28 17 2 2" xfId="3118"/>
    <cellStyle name="Normal 2 28 17 3" xfId="3119"/>
    <cellStyle name="Normal 2 28 18" xfId="3120"/>
    <cellStyle name="Normal 2 28 18 2" xfId="3121"/>
    <cellStyle name="Normal 2 28 18 2 2" xfId="3122"/>
    <cellStyle name="Normal 2 28 18 3" xfId="3123"/>
    <cellStyle name="Normal 2 28 19" xfId="3124"/>
    <cellStyle name="Normal 2 28 19 2" xfId="3125"/>
    <cellStyle name="Normal 2 28 19 2 2" xfId="3126"/>
    <cellStyle name="Normal 2 28 19 3" xfId="3127"/>
    <cellStyle name="Normal 2 28 2" xfId="3128"/>
    <cellStyle name="Normal 2 28 2 2" xfId="3129"/>
    <cellStyle name="Normal 2 28 2 2 2" xfId="3130"/>
    <cellStyle name="Normal 2 28 2 3" xfId="3131"/>
    <cellStyle name="Normal 2 28 20" xfId="3132"/>
    <cellStyle name="Normal 2 28 20 2" xfId="3133"/>
    <cellStyle name="Normal 2 28 20 2 2" xfId="3134"/>
    <cellStyle name="Normal 2 28 20 3" xfId="3135"/>
    <cellStyle name="Normal 2 28 21" xfId="3136"/>
    <cellStyle name="Normal 2 28 21 2" xfId="3137"/>
    <cellStyle name="Normal 2 28 21 2 2" xfId="3138"/>
    <cellStyle name="Normal 2 28 21 3" xfId="3139"/>
    <cellStyle name="Normal 2 28 22" xfId="3140"/>
    <cellStyle name="Normal 2 28 22 2" xfId="3141"/>
    <cellStyle name="Normal 2 28 22 2 2" xfId="3142"/>
    <cellStyle name="Normal 2 28 22 3" xfId="3143"/>
    <cellStyle name="Normal 2 28 23" xfId="3144"/>
    <cellStyle name="Normal 2 28 23 2" xfId="3145"/>
    <cellStyle name="Normal 2 28 23 2 2" xfId="3146"/>
    <cellStyle name="Normal 2 28 23 3" xfId="3147"/>
    <cellStyle name="Normal 2 28 24" xfId="3148"/>
    <cellStyle name="Normal 2 28 24 2" xfId="3149"/>
    <cellStyle name="Normal 2 28 25" xfId="3150"/>
    <cellStyle name="Normal 2 28 3" xfId="3151"/>
    <cellStyle name="Normal 2 28 3 2" xfId="3152"/>
    <cellStyle name="Normal 2 28 3 2 2" xfId="3153"/>
    <cellStyle name="Normal 2 28 3 3" xfId="3154"/>
    <cellStyle name="Normal 2 28 4" xfId="3155"/>
    <cellStyle name="Normal 2 28 4 2" xfId="3156"/>
    <cellStyle name="Normal 2 28 4 2 2" xfId="3157"/>
    <cellStyle name="Normal 2 28 4 3" xfId="3158"/>
    <cellStyle name="Normal 2 28 5" xfId="3159"/>
    <cellStyle name="Normal 2 28 5 2" xfId="3160"/>
    <cellStyle name="Normal 2 28 5 2 2" xfId="3161"/>
    <cellStyle name="Normal 2 28 5 3" xfId="3162"/>
    <cellStyle name="Normal 2 28 6" xfId="3163"/>
    <cellStyle name="Normal 2 28 6 2" xfId="3164"/>
    <cellStyle name="Normal 2 28 6 2 2" xfId="3165"/>
    <cellStyle name="Normal 2 28 6 3" xfId="3166"/>
    <cellStyle name="Normal 2 28 7" xfId="3167"/>
    <cellStyle name="Normal 2 28 7 2" xfId="3168"/>
    <cellStyle name="Normal 2 28 7 2 2" xfId="3169"/>
    <cellStyle name="Normal 2 28 7 3" xfId="3170"/>
    <cellStyle name="Normal 2 28 8" xfId="3171"/>
    <cellStyle name="Normal 2 28 8 2" xfId="3172"/>
    <cellStyle name="Normal 2 28 8 2 2" xfId="3173"/>
    <cellStyle name="Normal 2 28 8 3" xfId="3174"/>
    <cellStyle name="Normal 2 28 9" xfId="3175"/>
    <cellStyle name="Normal 2 28 9 2" xfId="3176"/>
    <cellStyle name="Normal 2 28 9 2 2" xfId="3177"/>
    <cellStyle name="Normal 2 28 9 3" xfId="3178"/>
    <cellStyle name="Normal 2 29" xfId="3179"/>
    <cellStyle name="Normal 2 29 10" xfId="3180"/>
    <cellStyle name="Normal 2 29 10 2" xfId="3181"/>
    <cellStyle name="Normal 2 29 10 2 2" xfId="3182"/>
    <cellStyle name="Normal 2 29 10 3" xfId="3183"/>
    <cellStyle name="Normal 2 29 11" xfId="3184"/>
    <cellStyle name="Normal 2 29 11 2" xfId="3185"/>
    <cellStyle name="Normal 2 29 11 2 2" xfId="3186"/>
    <cellStyle name="Normal 2 29 11 3" xfId="3187"/>
    <cellStyle name="Normal 2 29 12" xfId="3188"/>
    <cellStyle name="Normal 2 29 12 2" xfId="3189"/>
    <cellStyle name="Normal 2 29 12 2 2" xfId="3190"/>
    <cellStyle name="Normal 2 29 12 3" xfId="3191"/>
    <cellStyle name="Normal 2 29 13" xfId="3192"/>
    <cellStyle name="Normal 2 29 13 2" xfId="3193"/>
    <cellStyle name="Normal 2 29 13 2 2" xfId="3194"/>
    <cellStyle name="Normal 2 29 13 3" xfId="3195"/>
    <cellStyle name="Normal 2 29 14" xfId="3196"/>
    <cellStyle name="Normal 2 29 14 2" xfId="3197"/>
    <cellStyle name="Normal 2 29 14 2 2" xfId="3198"/>
    <cellStyle name="Normal 2 29 14 3" xfId="3199"/>
    <cellStyle name="Normal 2 29 15" xfId="3200"/>
    <cellStyle name="Normal 2 29 15 2" xfId="3201"/>
    <cellStyle name="Normal 2 29 15 2 2" xfId="3202"/>
    <cellStyle name="Normal 2 29 15 3" xfId="3203"/>
    <cellStyle name="Normal 2 29 16" xfId="3204"/>
    <cellStyle name="Normal 2 29 16 2" xfId="3205"/>
    <cellStyle name="Normal 2 29 16 2 2" xfId="3206"/>
    <cellStyle name="Normal 2 29 16 3" xfId="3207"/>
    <cellStyle name="Normal 2 29 17" xfId="3208"/>
    <cellStyle name="Normal 2 29 17 2" xfId="3209"/>
    <cellStyle name="Normal 2 29 17 2 2" xfId="3210"/>
    <cellStyle name="Normal 2 29 17 3" xfId="3211"/>
    <cellStyle name="Normal 2 29 18" xfId="3212"/>
    <cellStyle name="Normal 2 29 18 2" xfId="3213"/>
    <cellStyle name="Normal 2 29 18 2 2" xfId="3214"/>
    <cellStyle name="Normal 2 29 18 3" xfId="3215"/>
    <cellStyle name="Normal 2 29 19" xfId="3216"/>
    <cellStyle name="Normal 2 29 19 2" xfId="3217"/>
    <cellStyle name="Normal 2 29 19 2 2" xfId="3218"/>
    <cellStyle name="Normal 2 29 19 3" xfId="3219"/>
    <cellStyle name="Normal 2 29 2" xfId="3220"/>
    <cellStyle name="Normal 2 29 2 2" xfId="3221"/>
    <cellStyle name="Normal 2 29 2 2 2" xfId="3222"/>
    <cellStyle name="Normal 2 29 2 3" xfId="3223"/>
    <cellStyle name="Normal 2 29 20" xfId="3224"/>
    <cellStyle name="Normal 2 29 20 2" xfId="3225"/>
    <cellStyle name="Normal 2 29 20 2 2" xfId="3226"/>
    <cellStyle name="Normal 2 29 20 3" xfId="3227"/>
    <cellStyle name="Normal 2 29 21" xfId="3228"/>
    <cellStyle name="Normal 2 29 21 2" xfId="3229"/>
    <cellStyle name="Normal 2 29 21 2 2" xfId="3230"/>
    <cellStyle name="Normal 2 29 21 3" xfId="3231"/>
    <cellStyle name="Normal 2 29 22" xfId="3232"/>
    <cellStyle name="Normal 2 29 22 2" xfId="3233"/>
    <cellStyle name="Normal 2 29 22 2 2" xfId="3234"/>
    <cellStyle name="Normal 2 29 22 3" xfId="3235"/>
    <cellStyle name="Normal 2 29 23" xfId="3236"/>
    <cellStyle name="Normal 2 29 23 2" xfId="3237"/>
    <cellStyle name="Normal 2 29 23 2 2" xfId="3238"/>
    <cellStyle name="Normal 2 29 23 3" xfId="3239"/>
    <cellStyle name="Normal 2 29 24" xfId="3240"/>
    <cellStyle name="Normal 2 29 24 2" xfId="3241"/>
    <cellStyle name="Normal 2 29 25" xfId="3242"/>
    <cellStyle name="Normal 2 29 3" xfId="3243"/>
    <cellStyle name="Normal 2 29 3 2" xfId="3244"/>
    <cellStyle name="Normal 2 29 3 2 2" xfId="3245"/>
    <cellStyle name="Normal 2 29 3 3" xfId="3246"/>
    <cellStyle name="Normal 2 29 4" xfId="3247"/>
    <cellStyle name="Normal 2 29 4 2" xfId="3248"/>
    <cellStyle name="Normal 2 29 4 2 2" xfId="3249"/>
    <cellStyle name="Normal 2 29 4 3" xfId="3250"/>
    <cellStyle name="Normal 2 29 5" xfId="3251"/>
    <cellStyle name="Normal 2 29 5 2" xfId="3252"/>
    <cellStyle name="Normal 2 29 5 2 2" xfId="3253"/>
    <cellStyle name="Normal 2 29 5 3" xfId="3254"/>
    <cellStyle name="Normal 2 29 6" xfId="3255"/>
    <cellStyle name="Normal 2 29 6 2" xfId="3256"/>
    <cellStyle name="Normal 2 29 6 2 2" xfId="3257"/>
    <cellStyle name="Normal 2 29 6 3" xfId="3258"/>
    <cellStyle name="Normal 2 29 7" xfId="3259"/>
    <cellStyle name="Normal 2 29 7 2" xfId="3260"/>
    <cellStyle name="Normal 2 29 7 2 2" xfId="3261"/>
    <cellStyle name="Normal 2 29 7 3" xfId="3262"/>
    <cellStyle name="Normal 2 29 8" xfId="3263"/>
    <cellStyle name="Normal 2 29 8 2" xfId="3264"/>
    <cellStyle name="Normal 2 29 8 2 2" xfId="3265"/>
    <cellStyle name="Normal 2 29 8 3" xfId="3266"/>
    <cellStyle name="Normal 2 29 9" xfId="3267"/>
    <cellStyle name="Normal 2 29 9 2" xfId="3268"/>
    <cellStyle name="Normal 2 29 9 2 2" xfId="3269"/>
    <cellStyle name="Normal 2 29 9 3" xfId="3270"/>
    <cellStyle name="Normal 2 3" xfId="36"/>
    <cellStyle name="Normal 2 3 2" xfId="37"/>
    <cellStyle name="Normal 2 3 2 2" xfId="995"/>
    <cellStyle name="Normal 2 3 2 2 2" xfId="996"/>
    <cellStyle name="Normal 2 3 2 3" xfId="3271"/>
    <cellStyle name="Normal 2 3 3" xfId="167"/>
    <cellStyle name="Normal 2 3 3 2" xfId="997"/>
    <cellStyle name="Normal 2 3 3 3" xfId="998"/>
    <cellStyle name="Normal 2 3 4" xfId="3272"/>
    <cellStyle name="Normal 2 3 4 2" xfId="3273"/>
    <cellStyle name="Normal 2 3 5" xfId="3274"/>
    <cellStyle name="Normal 2 30" xfId="3275"/>
    <cellStyle name="Normal 2 30 10" xfId="3276"/>
    <cellStyle name="Normal 2 30 10 2" xfId="3277"/>
    <cellStyle name="Normal 2 30 10 2 2" xfId="3278"/>
    <cellStyle name="Normal 2 30 10 3" xfId="3279"/>
    <cellStyle name="Normal 2 30 11" xfId="3280"/>
    <cellStyle name="Normal 2 30 11 2" xfId="3281"/>
    <cellStyle name="Normal 2 30 11 2 2" xfId="3282"/>
    <cellStyle name="Normal 2 30 11 3" xfId="3283"/>
    <cellStyle name="Normal 2 30 12" xfId="3284"/>
    <cellStyle name="Normal 2 30 12 2" xfId="3285"/>
    <cellStyle name="Normal 2 30 12 2 2" xfId="3286"/>
    <cellStyle name="Normal 2 30 12 3" xfId="3287"/>
    <cellStyle name="Normal 2 30 13" xfId="3288"/>
    <cellStyle name="Normal 2 30 13 2" xfId="3289"/>
    <cellStyle name="Normal 2 30 13 2 2" xfId="3290"/>
    <cellStyle name="Normal 2 30 13 3" xfId="3291"/>
    <cellStyle name="Normal 2 30 14" xfId="3292"/>
    <cellStyle name="Normal 2 30 14 2" xfId="3293"/>
    <cellStyle name="Normal 2 30 14 2 2" xfId="3294"/>
    <cellStyle name="Normal 2 30 14 3" xfId="3295"/>
    <cellStyle name="Normal 2 30 15" xfId="3296"/>
    <cellStyle name="Normal 2 30 15 2" xfId="3297"/>
    <cellStyle name="Normal 2 30 15 2 2" xfId="3298"/>
    <cellStyle name="Normal 2 30 15 3" xfId="3299"/>
    <cellStyle name="Normal 2 30 16" xfId="3300"/>
    <cellStyle name="Normal 2 30 16 2" xfId="3301"/>
    <cellStyle name="Normal 2 30 16 2 2" xfId="3302"/>
    <cellStyle name="Normal 2 30 16 3" xfId="3303"/>
    <cellStyle name="Normal 2 30 17" xfId="3304"/>
    <cellStyle name="Normal 2 30 17 2" xfId="3305"/>
    <cellStyle name="Normal 2 30 17 2 2" xfId="3306"/>
    <cellStyle name="Normal 2 30 17 3" xfId="3307"/>
    <cellStyle name="Normal 2 30 18" xfId="3308"/>
    <cellStyle name="Normal 2 30 18 2" xfId="3309"/>
    <cellStyle name="Normal 2 30 18 2 2" xfId="3310"/>
    <cellStyle name="Normal 2 30 18 3" xfId="3311"/>
    <cellStyle name="Normal 2 30 19" xfId="3312"/>
    <cellStyle name="Normal 2 30 19 2" xfId="3313"/>
    <cellStyle name="Normal 2 30 19 2 2" xfId="3314"/>
    <cellStyle name="Normal 2 30 19 3" xfId="3315"/>
    <cellStyle name="Normal 2 30 2" xfId="3316"/>
    <cellStyle name="Normal 2 30 2 2" xfId="3317"/>
    <cellStyle name="Normal 2 30 2 2 2" xfId="3318"/>
    <cellStyle name="Normal 2 30 2 3" xfId="3319"/>
    <cellStyle name="Normal 2 30 20" xfId="3320"/>
    <cellStyle name="Normal 2 30 20 2" xfId="3321"/>
    <cellStyle name="Normal 2 30 20 2 2" xfId="3322"/>
    <cellStyle name="Normal 2 30 20 3" xfId="3323"/>
    <cellStyle name="Normal 2 30 21" xfId="3324"/>
    <cellStyle name="Normal 2 30 21 2" xfId="3325"/>
    <cellStyle name="Normal 2 30 21 2 2" xfId="3326"/>
    <cellStyle name="Normal 2 30 21 3" xfId="3327"/>
    <cellStyle name="Normal 2 30 22" xfId="3328"/>
    <cellStyle name="Normal 2 30 22 2" xfId="3329"/>
    <cellStyle name="Normal 2 30 22 2 2" xfId="3330"/>
    <cellStyle name="Normal 2 30 22 3" xfId="3331"/>
    <cellStyle name="Normal 2 30 23" xfId="3332"/>
    <cellStyle name="Normal 2 30 23 2" xfId="3333"/>
    <cellStyle name="Normal 2 30 23 2 2" xfId="3334"/>
    <cellStyle name="Normal 2 30 23 3" xfId="3335"/>
    <cellStyle name="Normal 2 30 24" xfId="3336"/>
    <cellStyle name="Normal 2 30 24 2" xfId="3337"/>
    <cellStyle name="Normal 2 30 25" xfId="3338"/>
    <cellStyle name="Normal 2 30 3" xfId="3339"/>
    <cellStyle name="Normal 2 30 3 2" xfId="3340"/>
    <cellStyle name="Normal 2 30 3 2 2" xfId="3341"/>
    <cellStyle name="Normal 2 30 3 3" xfId="3342"/>
    <cellStyle name="Normal 2 30 4" xfId="3343"/>
    <cellStyle name="Normal 2 30 4 2" xfId="3344"/>
    <cellStyle name="Normal 2 30 4 2 2" xfId="3345"/>
    <cellStyle name="Normal 2 30 4 3" xfId="3346"/>
    <cellStyle name="Normal 2 30 5" xfId="3347"/>
    <cellStyle name="Normal 2 30 5 2" xfId="3348"/>
    <cellStyle name="Normal 2 30 5 2 2" xfId="3349"/>
    <cellStyle name="Normal 2 30 5 3" xfId="3350"/>
    <cellStyle name="Normal 2 30 6" xfId="3351"/>
    <cellStyle name="Normal 2 30 6 2" xfId="3352"/>
    <cellStyle name="Normal 2 30 6 2 2" xfId="3353"/>
    <cellStyle name="Normal 2 30 6 3" xfId="3354"/>
    <cellStyle name="Normal 2 30 7" xfId="3355"/>
    <cellStyle name="Normal 2 30 7 2" xfId="3356"/>
    <cellStyle name="Normal 2 30 7 2 2" xfId="3357"/>
    <cellStyle name="Normal 2 30 7 3" xfId="3358"/>
    <cellStyle name="Normal 2 30 8" xfId="3359"/>
    <cellStyle name="Normal 2 30 8 2" xfId="3360"/>
    <cellStyle name="Normal 2 30 8 2 2" xfId="3361"/>
    <cellStyle name="Normal 2 30 8 3" xfId="3362"/>
    <cellStyle name="Normal 2 30 9" xfId="3363"/>
    <cellStyle name="Normal 2 30 9 2" xfId="3364"/>
    <cellStyle name="Normal 2 30 9 2 2" xfId="3365"/>
    <cellStyle name="Normal 2 30 9 3" xfId="3366"/>
    <cellStyle name="Normal 2 31" xfId="3367"/>
    <cellStyle name="Normal 2 31 10" xfId="3368"/>
    <cellStyle name="Normal 2 31 10 2" xfId="3369"/>
    <cellStyle name="Normal 2 31 10 2 2" xfId="3370"/>
    <cellStyle name="Normal 2 31 10 3" xfId="3371"/>
    <cellStyle name="Normal 2 31 11" xfId="3372"/>
    <cellStyle name="Normal 2 31 11 2" xfId="3373"/>
    <cellStyle name="Normal 2 31 11 2 2" xfId="3374"/>
    <cellStyle name="Normal 2 31 11 3" xfId="3375"/>
    <cellStyle name="Normal 2 31 12" xfId="3376"/>
    <cellStyle name="Normal 2 31 12 2" xfId="3377"/>
    <cellStyle name="Normal 2 31 12 2 2" xfId="3378"/>
    <cellStyle name="Normal 2 31 12 3" xfId="3379"/>
    <cellStyle name="Normal 2 31 13" xfId="3380"/>
    <cellStyle name="Normal 2 31 13 2" xfId="3381"/>
    <cellStyle name="Normal 2 31 13 2 2" xfId="3382"/>
    <cellStyle name="Normal 2 31 13 3" xfId="3383"/>
    <cellStyle name="Normal 2 31 14" xfId="3384"/>
    <cellStyle name="Normal 2 31 14 2" xfId="3385"/>
    <cellStyle name="Normal 2 31 14 2 2" xfId="3386"/>
    <cellStyle name="Normal 2 31 14 3" xfId="3387"/>
    <cellStyle name="Normal 2 31 15" xfId="3388"/>
    <cellStyle name="Normal 2 31 15 2" xfId="3389"/>
    <cellStyle name="Normal 2 31 15 2 2" xfId="3390"/>
    <cellStyle name="Normal 2 31 15 3" xfId="3391"/>
    <cellStyle name="Normal 2 31 16" xfId="3392"/>
    <cellStyle name="Normal 2 31 16 2" xfId="3393"/>
    <cellStyle name="Normal 2 31 16 2 2" xfId="3394"/>
    <cellStyle name="Normal 2 31 16 3" xfId="3395"/>
    <cellStyle name="Normal 2 31 17" xfId="3396"/>
    <cellStyle name="Normal 2 31 17 2" xfId="3397"/>
    <cellStyle name="Normal 2 31 17 2 2" xfId="3398"/>
    <cellStyle name="Normal 2 31 17 3" xfId="3399"/>
    <cellStyle name="Normal 2 31 18" xfId="3400"/>
    <cellStyle name="Normal 2 31 18 2" xfId="3401"/>
    <cellStyle name="Normal 2 31 18 2 2" xfId="3402"/>
    <cellStyle name="Normal 2 31 18 3" xfId="3403"/>
    <cellStyle name="Normal 2 31 19" xfId="3404"/>
    <cellStyle name="Normal 2 31 19 2" xfId="3405"/>
    <cellStyle name="Normal 2 31 19 2 2" xfId="3406"/>
    <cellStyle name="Normal 2 31 19 3" xfId="3407"/>
    <cellStyle name="Normal 2 31 2" xfId="3408"/>
    <cellStyle name="Normal 2 31 2 2" xfId="3409"/>
    <cellStyle name="Normal 2 31 2 2 2" xfId="3410"/>
    <cellStyle name="Normal 2 31 2 3" xfId="3411"/>
    <cellStyle name="Normal 2 31 20" xfId="3412"/>
    <cellStyle name="Normal 2 31 20 2" xfId="3413"/>
    <cellStyle name="Normal 2 31 20 2 2" xfId="3414"/>
    <cellStyle name="Normal 2 31 20 3" xfId="3415"/>
    <cellStyle name="Normal 2 31 21" xfId="3416"/>
    <cellStyle name="Normal 2 31 21 2" xfId="3417"/>
    <cellStyle name="Normal 2 31 21 2 2" xfId="3418"/>
    <cellStyle name="Normal 2 31 21 3" xfId="3419"/>
    <cellStyle name="Normal 2 31 22" xfId="3420"/>
    <cellStyle name="Normal 2 31 22 2" xfId="3421"/>
    <cellStyle name="Normal 2 31 22 2 2" xfId="3422"/>
    <cellStyle name="Normal 2 31 22 3" xfId="3423"/>
    <cellStyle name="Normal 2 31 23" xfId="3424"/>
    <cellStyle name="Normal 2 31 23 2" xfId="3425"/>
    <cellStyle name="Normal 2 31 23 2 2" xfId="3426"/>
    <cellStyle name="Normal 2 31 23 3" xfId="3427"/>
    <cellStyle name="Normal 2 31 24" xfId="3428"/>
    <cellStyle name="Normal 2 31 24 2" xfId="3429"/>
    <cellStyle name="Normal 2 31 25" xfId="3430"/>
    <cellStyle name="Normal 2 31 3" xfId="3431"/>
    <cellStyle name="Normal 2 31 3 2" xfId="3432"/>
    <cellStyle name="Normal 2 31 3 2 2" xfId="3433"/>
    <cellStyle name="Normal 2 31 3 3" xfId="3434"/>
    <cellStyle name="Normal 2 31 4" xfId="3435"/>
    <cellStyle name="Normal 2 31 4 2" xfId="3436"/>
    <cellStyle name="Normal 2 31 4 2 2" xfId="3437"/>
    <cellStyle name="Normal 2 31 4 3" xfId="3438"/>
    <cellStyle name="Normal 2 31 5" xfId="3439"/>
    <cellStyle name="Normal 2 31 5 2" xfId="3440"/>
    <cellStyle name="Normal 2 31 5 2 2" xfId="3441"/>
    <cellStyle name="Normal 2 31 5 3" xfId="3442"/>
    <cellStyle name="Normal 2 31 6" xfId="3443"/>
    <cellStyle name="Normal 2 31 6 2" xfId="3444"/>
    <cellStyle name="Normal 2 31 6 2 2" xfId="3445"/>
    <cellStyle name="Normal 2 31 6 3" xfId="3446"/>
    <cellStyle name="Normal 2 31 7" xfId="3447"/>
    <cellStyle name="Normal 2 31 7 2" xfId="3448"/>
    <cellStyle name="Normal 2 31 7 2 2" xfId="3449"/>
    <cellStyle name="Normal 2 31 7 3" xfId="3450"/>
    <cellStyle name="Normal 2 31 8" xfId="3451"/>
    <cellStyle name="Normal 2 31 8 2" xfId="3452"/>
    <cellStyle name="Normal 2 31 8 2 2" xfId="3453"/>
    <cellStyle name="Normal 2 31 8 3" xfId="3454"/>
    <cellStyle name="Normal 2 31 9" xfId="3455"/>
    <cellStyle name="Normal 2 31 9 2" xfId="3456"/>
    <cellStyle name="Normal 2 31 9 2 2" xfId="3457"/>
    <cellStyle name="Normal 2 31 9 3" xfId="3458"/>
    <cellStyle name="Normal 2 32" xfId="3459"/>
    <cellStyle name="Normal 2 32 10" xfId="3460"/>
    <cellStyle name="Normal 2 32 10 2" xfId="3461"/>
    <cellStyle name="Normal 2 32 10 2 2" xfId="3462"/>
    <cellStyle name="Normal 2 32 10 3" xfId="3463"/>
    <cellStyle name="Normal 2 32 11" xfId="3464"/>
    <cellStyle name="Normal 2 32 11 2" xfId="3465"/>
    <cellStyle name="Normal 2 32 11 2 2" xfId="3466"/>
    <cellStyle name="Normal 2 32 11 3" xfId="3467"/>
    <cellStyle name="Normal 2 32 12" xfId="3468"/>
    <cellStyle name="Normal 2 32 12 2" xfId="3469"/>
    <cellStyle name="Normal 2 32 12 2 2" xfId="3470"/>
    <cellStyle name="Normal 2 32 12 3" xfId="3471"/>
    <cellStyle name="Normal 2 32 13" xfId="3472"/>
    <cellStyle name="Normal 2 32 13 2" xfId="3473"/>
    <cellStyle name="Normal 2 32 13 2 2" xfId="3474"/>
    <cellStyle name="Normal 2 32 13 3" xfId="3475"/>
    <cellStyle name="Normal 2 32 14" xfId="3476"/>
    <cellStyle name="Normal 2 32 14 2" xfId="3477"/>
    <cellStyle name="Normal 2 32 14 2 2" xfId="3478"/>
    <cellStyle name="Normal 2 32 14 3" xfId="3479"/>
    <cellStyle name="Normal 2 32 15" xfId="3480"/>
    <cellStyle name="Normal 2 32 15 2" xfId="3481"/>
    <cellStyle name="Normal 2 32 15 2 2" xfId="3482"/>
    <cellStyle name="Normal 2 32 15 3" xfId="3483"/>
    <cellStyle name="Normal 2 32 16" xfId="3484"/>
    <cellStyle name="Normal 2 32 16 2" xfId="3485"/>
    <cellStyle name="Normal 2 32 16 2 2" xfId="3486"/>
    <cellStyle name="Normal 2 32 16 3" xfId="3487"/>
    <cellStyle name="Normal 2 32 17" xfId="3488"/>
    <cellStyle name="Normal 2 32 17 2" xfId="3489"/>
    <cellStyle name="Normal 2 32 17 2 2" xfId="3490"/>
    <cellStyle name="Normal 2 32 17 3" xfId="3491"/>
    <cellStyle name="Normal 2 32 18" xfId="3492"/>
    <cellStyle name="Normal 2 32 18 2" xfId="3493"/>
    <cellStyle name="Normal 2 32 18 2 2" xfId="3494"/>
    <cellStyle name="Normal 2 32 18 3" xfId="3495"/>
    <cellStyle name="Normal 2 32 19" xfId="3496"/>
    <cellStyle name="Normal 2 32 19 2" xfId="3497"/>
    <cellStyle name="Normal 2 32 19 2 2" xfId="3498"/>
    <cellStyle name="Normal 2 32 19 3" xfId="3499"/>
    <cellStyle name="Normal 2 32 2" xfId="3500"/>
    <cellStyle name="Normal 2 32 2 2" xfId="3501"/>
    <cellStyle name="Normal 2 32 2 2 2" xfId="3502"/>
    <cellStyle name="Normal 2 32 2 3" xfId="3503"/>
    <cellStyle name="Normal 2 32 20" xfId="3504"/>
    <cellStyle name="Normal 2 32 20 2" xfId="3505"/>
    <cellStyle name="Normal 2 32 20 2 2" xfId="3506"/>
    <cellStyle name="Normal 2 32 20 3" xfId="3507"/>
    <cellStyle name="Normal 2 32 21" xfId="3508"/>
    <cellStyle name="Normal 2 32 21 2" xfId="3509"/>
    <cellStyle name="Normal 2 32 21 2 2" xfId="3510"/>
    <cellStyle name="Normal 2 32 21 3" xfId="3511"/>
    <cellStyle name="Normal 2 32 22" xfId="3512"/>
    <cellStyle name="Normal 2 32 22 2" xfId="3513"/>
    <cellStyle name="Normal 2 32 22 2 2" xfId="3514"/>
    <cellStyle name="Normal 2 32 22 3" xfId="3515"/>
    <cellStyle name="Normal 2 32 23" xfId="3516"/>
    <cellStyle name="Normal 2 32 23 2" xfId="3517"/>
    <cellStyle name="Normal 2 32 23 2 2" xfId="3518"/>
    <cellStyle name="Normal 2 32 23 3" xfId="3519"/>
    <cellStyle name="Normal 2 32 24" xfId="3520"/>
    <cellStyle name="Normal 2 32 24 2" xfId="3521"/>
    <cellStyle name="Normal 2 32 25" xfId="3522"/>
    <cellStyle name="Normal 2 32 3" xfId="3523"/>
    <cellStyle name="Normal 2 32 3 2" xfId="3524"/>
    <cellStyle name="Normal 2 32 3 2 2" xfId="3525"/>
    <cellStyle name="Normal 2 32 3 3" xfId="3526"/>
    <cellStyle name="Normal 2 32 4" xfId="3527"/>
    <cellStyle name="Normal 2 32 4 2" xfId="3528"/>
    <cellStyle name="Normal 2 32 4 2 2" xfId="3529"/>
    <cellStyle name="Normal 2 32 4 3" xfId="3530"/>
    <cellStyle name="Normal 2 32 5" xfId="3531"/>
    <cellStyle name="Normal 2 32 5 2" xfId="3532"/>
    <cellStyle name="Normal 2 32 5 2 2" xfId="3533"/>
    <cellStyle name="Normal 2 32 5 3" xfId="3534"/>
    <cellStyle name="Normal 2 32 6" xfId="3535"/>
    <cellStyle name="Normal 2 32 6 2" xfId="3536"/>
    <cellStyle name="Normal 2 32 6 2 2" xfId="3537"/>
    <cellStyle name="Normal 2 32 6 3" xfId="3538"/>
    <cellStyle name="Normal 2 32 7" xfId="3539"/>
    <cellStyle name="Normal 2 32 7 2" xfId="3540"/>
    <cellStyle name="Normal 2 32 7 2 2" xfId="3541"/>
    <cellStyle name="Normal 2 32 7 3" xfId="3542"/>
    <cellStyle name="Normal 2 32 8" xfId="3543"/>
    <cellStyle name="Normal 2 32 8 2" xfId="3544"/>
    <cellStyle name="Normal 2 32 8 2 2" xfId="3545"/>
    <cellStyle name="Normal 2 32 8 3" xfId="3546"/>
    <cellStyle name="Normal 2 32 9" xfId="3547"/>
    <cellStyle name="Normal 2 32 9 2" xfId="3548"/>
    <cellStyle name="Normal 2 32 9 2 2" xfId="3549"/>
    <cellStyle name="Normal 2 32 9 3" xfId="3550"/>
    <cellStyle name="Normal 2 33" xfId="3551"/>
    <cellStyle name="Normal 2 33 10" xfId="3552"/>
    <cellStyle name="Normal 2 33 10 2" xfId="3553"/>
    <cellStyle name="Normal 2 33 10 2 2" xfId="3554"/>
    <cellStyle name="Normal 2 33 10 3" xfId="3555"/>
    <cellStyle name="Normal 2 33 11" xfId="3556"/>
    <cellStyle name="Normal 2 33 11 2" xfId="3557"/>
    <cellStyle name="Normal 2 33 11 2 2" xfId="3558"/>
    <cellStyle name="Normal 2 33 11 3" xfId="3559"/>
    <cellStyle name="Normal 2 33 12" xfId="3560"/>
    <cellStyle name="Normal 2 33 12 2" xfId="3561"/>
    <cellStyle name="Normal 2 33 12 2 2" xfId="3562"/>
    <cellStyle name="Normal 2 33 12 3" xfId="3563"/>
    <cellStyle name="Normal 2 33 13" xfId="3564"/>
    <cellStyle name="Normal 2 33 13 2" xfId="3565"/>
    <cellStyle name="Normal 2 33 13 2 2" xfId="3566"/>
    <cellStyle name="Normal 2 33 13 3" xfId="3567"/>
    <cellStyle name="Normal 2 33 14" xfId="3568"/>
    <cellStyle name="Normal 2 33 14 2" xfId="3569"/>
    <cellStyle name="Normal 2 33 14 2 2" xfId="3570"/>
    <cellStyle name="Normal 2 33 14 3" xfId="3571"/>
    <cellStyle name="Normal 2 33 15" xfId="3572"/>
    <cellStyle name="Normal 2 33 15 2" xfId="3573"/>
    <cellStyle name="Normal 2 33 15 2 2" xfId="3574"/>
    <cellStyle name="Normal 2 33 15 3" xfId="3575"/>
    <cellStyle name="Normal 2 33 16" xfId="3576"/>
    <cellStyle name="Normal 2 33 16 2" xfId="3577"/>
    <cellStyle name="Normal 2 33 16 2 2" xfId="3578"/>
    <cellStyle name="Normal 2 33 16 3" xfId="3579"/>
    <cellStyle name="Normal 2 33 17" xfId="3580"/>
    <cellStyle name="Normal 2 33 17 2" xfId="3581"/>
    <cellStyle name="Normal 2 33 17 2 2" xfId="3582"/>
    <cellStyle name="Normal 2 33 17 3" xfId="3583"/>
    <cellStyle name="Normal 2 33 18" xfId="3584"/>
    <cellStyle name="Normal 2 33 18 2" xfId="3585"/>
    <cellStyle name="Normal 2 33 18 2 2" xfId="3586"/>
    <cellStyle name="Normal 2 33 18 3" xfId="3587"/>
    <cellStyle name="Normal 2 33 19" xfId="3588"/>
    <cellStyle name="Normal 2 33 19 2" xfId="3589"/>
    <cellStyle name="Normal 2 33 19 2 2" xfId="3590"/>
    <cellStyle name="Normal 2 33 19 3" xfId="3591"/>
    <cellStyle name="Normal 2 33 2" xfId="3592"/>
    <cellStyle name="Normal 2 33 2 2" xfId="3593"/>
    <cellStyle name="Normal 2 33 2 2 2" xfId="3594"/>
    <cellStyle name="Normal 2 33 2 3" xfId="3595"/>
    <cellStyle name="Normal 2 33 20" xfId="3596"/>
    <cellStyle name="Normal 2 33 20 2" xfId="3597"/>
    <cellStyle name="Normal 2 33 20 2 2" xfId="3598"/>
    <cellStyle name="Normal 2 33 20 3" xfId="3599"/>
    <cellStyle name="Normal 2 33 21" xfId="3600"/>
    <cellStyle name="Normal 2 33 21 2" xfId="3601"/>
    <cellStyle name="Normal 2 33 21 2 2" xfId="3602"/>
    <cellStyle name="Normal 2 33 21 3" xfId="3603"/>
    <cellStyle name="Normal 2 33 22" xfId="3604"/>
    <cellStyle name="Normal 2 33 22 2" xfId="3605"/>
    <cellStyle name="Normal 2 33 22 2 2" xfId="3606"/>
    <cellStyle name="Normal 2 33 22 3" xfId="3607"/>
    <cellStyle name="Normal 2 33 23" xfId="3608"/>
    <cellStyle name="Normal 2 33 23 2" xfId="3609"/>
    <cellStyle name="Normal 2 33 23 2 2" xfId="3610"/>
    <cellStyle name="Normal 2 33 23 3" xfId="3611"/>
    <cellStyle name="Normal 2 33 24" xfId="3612"/>
    <cellStyle name="Normal 2 33 24 2" xfId="3613"/>
    <cellStyle name="Normal 2 33 25" xfId="3614"/>
    <cellStyle name="Normal 2 33 3" xfId="3615"/>
    <cellStyle name="Normal 2 33 3 2" xfId="3616"/>
    <cellStyle name="Normal 2 33 3 2 2" xfId="3617"/>
    <cellStyle name="Normal 2 33 3 3" xfId="3618"/>
    <cellStyle name="Normal 2 33 4" xfId="3619"/>
    <cellStyle name="Normal 2 33 4 2" xfId="3620"/>
    <cellStyle name="Normal 2 33 4 2 2" xfId="3621"/>
    <cellStyle name="Normal 2 33 4 3" xfId="3622"/>
    <cellStyle name="Normal 2 33 5" xfId="3623"/>
    <cellStyle name="Normal 2 33 5 2" xfId="3624"/>
    <cellStyle name="Normal 2 33 5 2 2" xfId="3625"/>
    <cellStyle name="Normal 2 33 5 3" xfId="3626"/>
    <cellStyle name="Normal 2 33 6" xfId="3627"/>
    <cellStyle name="Normal 2 33 6 2" xfId="3628"/>
    <cellStyle name="Normal 2 33 6 2 2" xfId="3629"/>
    <cellStyle name="Normal 2 33 6 3" xfId="3630"/>
    <cellStyle name="Normal 2 33 7" xfId="3631"/>
    <cellStyle name="Normal 2 33 7 2" xfId="3632"/>
    <cellStyle name="Normal 2 33 7 2 2" xfId="3633"/>
    <cellStyle name="Normal 2 33 7 3" xfId="3634"/>
    <cellStyle name="Normal 2 33 8" xfId="3635"/>
    <cellStyle name="Normal 2 33 8 2" xfId="3636"/>
    <cellStyle name="Normal 2 33 8 2 2" xfId="3637"/>
    <cellStyle name="Normal 2 33 8 3" xfId="3638"/>
    <cellStyle name="Normal 2 33 9" xfId="3639"/>
    <cellStyle name="Normal 2 33 9 2" xfId="3640"/>
    <cellStyle name="Normal 2 33 9 2 2" xfId="3641"/>
    <cellStyle name="Normal 2 33 9 3" xfId="3642"/>
    <cellStyle name="Normal 2 34" xfId="3643"/>
    <cellStyle name="Normal 2 34 10" xfId="3644"/>
    <cellStyle name="Normal 2 34 10 2" xfId="3645"/>
    <cellStyle name="Normal 2 34 10 2 2" xfId="3646"/>
    <cellStyle name="Normal 2 34 10 3" xfId="3647"/>
    <cellStyle name="Normal 2 34 11" xfId="3648"/>
    <cellStyle name="Normal 2 34 11 2" xfId="3649"/>
    <cellStyle name="Normal 2 34 11 2 2" xfId="3650"/>
    <cellStyle name="Normal 2 34 11 3" xfId="3651"/>
    <cellStyle name="Normal 2 34 12" xfId="3652"/>
    <cellStyle name="Normal 2 34 12 2" xfId="3653"/>
    <cellStyle name="Normal 2 34 12 2 2" xfId="3654"/>
    <cellStyle name="Normal 2 34 12 3" xfId="3655"/>
    <cellStyle name="Normal 2 34 13" xfId="3656"/>
    <cellStyle name="Normal 2 34 13 2" xfId="3657"/>
    <cellStyle name="Normal 2 34 13 2 2" xfId="3658"/>
    <cellStyle name="Normal 2 34 13 3" xfId="3659"/>
    <cellStyle name="Normal 2 34 14" xfId="3660"/>
    <cellStyle name="Normal 2 34 14 2" xfId="3661"/>
    <cellStyle name="Normal 2 34 14 2 2" xfId="3662"/>
    <cellStyle name="Normal 2 34 14 3" xfId="3663"/>
    <cellStyle name="Normal 2 34 15" xfId="3664"/>
    <cellStyle name="Normal 2 34 15 2" xfId="3665"/>
    <cellStyle name="Normal 2 34 15 2 2" xfId="3666"/>
    <cellStyle name="Normal 2 34 15 3" xfId="3667"/>
    <cellStyle name="Normal 2 34 16" xfId="3668"/>
    <cellStyle name="Normal 2 34 16 2" xfId="3669"/>
    <cellStyle name="Normal 2 34 16 2 2" xfId="3670"/>
    <cellStyle name="Normal 2 34 16 3" xfId="3671"/>
    <cellStyle name="Normal 2 34 17" xfId="3672"/>
    <cellStyle name="Normal 2 34 17 2" xfId="3673"/>
    <cellStyle name="Normal 2 34 17 2 2" xfId="3674"/>
    <cellStyle name="Normal 2 34 17 3" xfId="3675"/>
    <cellStyle name="Normal 2 34 18" xfId="3676"/>
    <cellStyle name="Normal 2 34 18 2" xfId="3677"/>
    <cellStyle name="Normal 2 34 18 2 2" xfId="3678"/>
    <cellStyle name="Normal 2 34 18 3" xfId="3679"/>
    <cellStyle name="Normal 2 34 19" xfId="3680"/>
    <cellStyle name="Normal 2 34 19 2" xfId="3681"/>
    <cellStyle name="Normal 2 34 19 2 2" xfId="3682"/>
    <cellStyle name="Normal 2 34 19 3" xfId="3683"/>
    <cellStyle name="Normal 2 34 2" xfId="3684"/>
    <cellStyle name="Normal 2 34 2 2" xfId="3685"/>
    <cellStyle name="Normal 2 34 2 2 2" xfId="3686"/>
    <cellStyle name="Normal 2 34 2 3" xfId="3687"/>
    <cellStyle name="Normal 2 34 20" xfId="3688"/>
    <cellStyle name="Normal 2 34 20 2" xfId="3689"/>
    <cellStyle name="Normal 2 34 20 2 2" xfId="3690"/>
    <cellStyle name="Normal 2 34 20 3" xfId="3691"/>
    <cellStyle name="Normal 2 34 21" xfId="3692"/>
    <cellStyle name="Normal 2 34 21 2" xfId="3693"/>
    <cellStyle name="Normal 2 34 21 2 2" xfId="3694"/>
    <cellStyle name="Normal 2 34 21 3" xfId="3695"/>
    <cellStyle name="Normal 2 34 22" xfId="3696"/>
    <cellStyle name="Normal 2 34 22 2" xfId="3697"/>
    <cellStyle name="Normal 2 34 22 2 2" xfId="3698"/>
    <cellStyle name="Normal 2 34 22 3" xfId="3699"/>
    <cellStyle name="Normal 2 34 23" xfId="3700"/>
    <cellStyle name="Normal 2 34 23 2" xfId="3701"/>
    <cellStyle name="Normal 2 34 23 2 2" xfId="3702"/>
    <cellStyle name="Normal 2 34 23 3" xfId="3703"/>
    <cellStyle name="Normal 2 34 24" xfId="3704"/>
    <cellStyle name="Normal 2 34 24 2" xfId="3705"/>
    <cellStyle name="Normal 2 34 25" xfId="3706"/>
    <cellStyle name="Normal 2 34 3" xfId="3707"/>
    <cellStyle name="Normal 2 34 3 2" xfId="3708"/>
    <cellStyle name="Normal 2 34 3 2 2" xfId="3709"/>
    <cellStyle name="Normal 2 34 3 3" xfId="3710"/>
    <cellStyle name="Normal 2 34 4" xfId="3711"/>
    <cellStyle name="Normal 2 34 4 2" xfId="3712"/>
    <cellStyle name="Normal 2 34 4 2 2" xfId="3713"/>
    <cellStyle name="Normal 2 34 4 3" xfId="3714"/>
    <cellStyle name="Normal 2 34 5" xfId="3715"/>
    <cellStyle name="Normal 2 34 5 2" xfId="3716"/>
    <cellStyle name="Normal 2 34 5 2 2" xfId="3717"/>
    <cellStyle name="Normal 2 34 5 3" xfId="3718"/>
    <cellStyle name="Normal 2 34 6" xfId="3719"/>
    <cellStyle name="Normal 2 34 6 2" xfId="3720"/>
    <cellStyle name="Normal 2 34 6 2 2" xfId="3721"/>
    <cellStyle name="Normal 2 34 6 3" xfId="3722"/>
    <cellStyle name="Normal 2 34 7" xfId="3723"/>
    <cellStyle name="Normal 2 34 7 2" xfId="3724"/>
    <cellStyle name="Normal 2 34 7 2 2" xfId="3725"/>
    <cellStyle name="Normal 2 34 7 3" xfId="3726"/>
    <cellStyle name="Normal 2 34 8" xfId="3727"/>
    <cellStyle name="Normal 2 34 8 2" xfId="3728"/>
    <cellStyle name="Normal 2 34 8 2 2" xfId="3729"/>
    <cellStyle name="Normal 2 34 8 3" xfId="3730"/>
    <cellStyle name="Normal 2 34 9" xfId="3731"/>
    <cellStyle name="Normal 2 34 9 2" xfId="3732"/>
    <cellStyle name="Normal 2 34 9 2 2" xfId="3733"/>
    <cellStyle name="Normal 2 34 9 3" xfId="3734"/>
    <cellStyle name="Normal 2 35" xfId="3735"/>
    <cellStyle name="Normal 2 35 10" xfId="3736"/>
    <cellStyle name="Normal 2 35 10 2" xfId="3737"/>
    <cellStyle name="Normal 2 35 10 2 2" xfId="3738"/>
    <cellStyle name="Normal 2 35 10 3" xfId="3739"/>
    <cellStyle name="Normal 2 35 11" xfId="3740"/>
    <cellStyle name="Normal 2 35 11 2" xfId="3741"/>
    <cellStyle name="Normal 2 35 11 2 2" xfId="3742"/>
    <cellStyle name="Normal 2 35 11 3" xfId="3743"/>
    <cellStyle name="Normal 2 35 12" xfId="3744"/>
    <cellStyle name="Normal 2 35 12 2" xfId="3745"/>
    <cellStyle name="Normal 2 35 12 2 2" xfId="3746"/>
    <cellStyle name="Normal 2 35 12 3" xfId="3747"/>
    <cellStyle name="Normal 2 35 13" xfId="3748"/>
    <cellStyle name="Normal 2 35 13 2" xfId="3749"/>
    <cellStyle name="Normal 2 35 13 2 2" xfId="3750"/>
    <cellStyle name="Normal 2 35 13 3" xfId="3751"/>
    <cellStyle name="Normal 2 35 14" xfId="3752"/>
    <cellStyle name="Normal 2 35 14 2" xfId="3753"/>
    <cellStyle name="Normal 2 35 14 2 2" xfId="3754"/>
    <cellStyle name="Normal 2 35 14 3" xfId="3755"/>
    <cellStyle name="Normal 2 35 15" xfId="3756"/>
    <cellStyle name="Normal 2 35 15 2" xfId="3757"/>
    <cellStyle name="Normal 2 35 15 2 2" xfId="3758"/>
    <cellStyle name="Normal 2 35 15 3" xfId="3759"/>
    <cellStyle name="Normal 2 35 16" xfId="3760"/>
    <cellStyle name="Normal 2 35 16 2" xfId="3761"/>
    <cellStyle name="Normal 2 35 16 2 2" xfId="3762"/>
    <cellStyle name="Normal 2 35 16 3" xfId="3763"/>
    <cellStyle name="Normal 2 35 17" xfId="3764"/>
    <cellStyle name="Normal 2 35 17 2" xfId="3765"/>
    <cellStyle name="Normal 2 35 17 2 2" xfId="3766"/>
    <cellStyle name="Normal 2 35 17 3" xfId="3767"/>
    <cellStyle name="Normal 2 35 18" xfId="3768"/>
    <cellStyle name="Normal 2 35 18 2" xfId="3769"/>
    <cellStyle name="Normal 2 35 18 2 2" xfId="3770"/>
    <cellStyle name="Normal 2 35 18 3" xfId="3771"/>
    <cellStyle name="Normal 2 35 19" xfId="3772"/>
    <cellStyle name="Normal 2 35 19 2" xfId="3773"/>
    <cellStyle name="Normal 2 35 19 2 2" xfId="3774"/>
    <cellStyle name="Normal 2 35 19 3" xfId="3775"/>
    <cellStyle name="Normal 2 35 2" xfId="3776"/>
    <cellStyle name="Normal 2 35 2 2" xfId="3777"/>
    <cellStyle name="Normal 2 35 2 2 2" xfId="3778"/>
    <cellStyle name="Normal 2 35 2 3" xfId="3779"/>
    <cellStyle name="Normal 2 35 20" xfId="3780"/>
    <cellStyle name="Normal 2 35 20 2" xfId="3781"/>
    <cellStyle name="Normal 2 35 20 2 2" xfId="3782"/>
    <cellStyle name="Normal 2 35 20 3" xfId="3783"/>
    <cellStyle name="Normal 2 35 21" xfId="3784"/>
    <cellStyle name="Normal 2 35 21 2" xfId="3785"/>
    <cellStyle name="Normal 2 35 21 2 2" xfId="3786"/>
    <cellStyle name="Normal 2 35 21 3" xfId="3787"/>
    <cellStyle name="Normal 2 35 22" xfId="3788"/>
    <cellStyle name="Normal 2 35 22 2" xfId="3789"/>
    <cellStyle name="Normal 2 35 22 2 2" xfId="3790"/>
    <cellStyle name="Normal 2 35 22 3" xfId="3791"/>
    <cellStyle name="Normal 2 35 23" xfId="3792"/>
    <cellStyle name="Normal 2 35 23 2" xfId="3793"/>
    <cellStyle name="Normal 2 35 23 2 2" xfId="3794"/>
    <cellStyle name="Normal 2 35 23 3" xfId="3795"/>
    <cellStyle name="Normal 2 35 24" xfId="3796"/>
    <cellStyle name="Normal 2 35 24 2" xfId="3797"/>
    <cellStyle name="Normal 2 35 25" xfId="3798"/>
    <cellStyle name="Normal 2 35 3" xfId="3799"/>
    <cellStyle name="Normal 2 35 3 2" xfId="3800"/>
    <cellStyle name="Normal 2 35 3 2 2" xfId="3801"/>
    <cellStyle name="Normal 2 35 3 3" xfId="3802"/>
    <cellStyle name="Normal 2 35 4" xfId="3803"/>
    <cellStyle name="Normal 2 35 4 2" xfId="3804"/>
    <cellStyle name="Normal 2 35 4 2 2" xfId="3805"/>
    <cellStyle name="Normal 2 35 4 3" xfId="3806"/>
    <cellStyle name="Normal 2 35 5" xfId="3807"/>
    <cellStyle name="Normal 2 35 5 2" xfId="3808"/>
    <cellStyle name="Normal 2 35 5 2 2" xfId="3809"/>
    <cellStyle name="Normal 2 35 5 3" xfId="3810"/>
    <cellStyle name="Normal 2 35 6" xfId="3811"/>
    <cellStyle name="Normal 2 35 6 2" xfId="3812"/>
    <cellStyle name="Normal 2 35 6 2 2" xfId="3813"/>
    <cellStyle name="Normal 2 35 6 3" xfId="3814"/>
    <cellStyle name="Normal 2 35 7" xfId="3815"/>
    <cellStyle name="Normal 2 35 7 2" xfId="3816"/>
    <cellStyle name="Normal 2 35 7 2 2" xfId="3817"/>
    <cellStyle name="Normal 2 35 7 3" xfId="3818"/>
    <cellStyle name="Normal 2 35 8" xfId="3819"/>
    <cellStyle name="Normal 2 35 8 2" xfId="3820"/>
    <cellStyle name="Normal 2 35 8 2 2" xfId="3821"/>
    <cellStyle name="Normal 2 35 8 3" xfId="3822"/>
    <cellStyle name="Normal 2 35 9" xfId="3823"/>
    <cellStyle name="Normal 2 35 9 2" xfId="3824"/>
    <cellStyle name="Normal 2 35 9 2 2" xfId="3825"/>
    <cellStyle name="Normal 2 35 9 3" xfId="3826"/>
    <cellStyle name="Normal 2 36" xfId="3827"/>
    <cellStyle name="Normal 2 36 10" xfId="3828"/>
    <cellStyle name="Normal 2 36 10 2" xfId="3829"/>
    <cellStyle name="Normal 2 36 10 2 2" xfId="3830"/>
    <cellStyle name="Normal 2 36 10 3" xfId="3831"/>
    <cellStyle name="Normal 2 36 11" xfId="3832"/>
    <cellStyle name="Normal 2 36 11 2" xfId="3833"/>
    <cellStyle name="Normal 2 36 11 2 2" xfId="3834"/>
    <cellStyle name="Normal 2 36 11 3" xfId="3835"/>
    <cellStyle name="Normal 2 36 12" xfId="3836"/>
    <cellStyle name="Normal 2 36 12 2" xfId="3837"/>
    <cellStyle name="Normal 2 36 12 2 2" xfId="3838"/>
    <cellStyle name="Normal 2 36 12 3" xfId="3839"/>
    <cellStyle name="Normal 2 36 13" xfId="3840"/>
    <cellStyle name="Normal 2 36 13 2" xfId="3841"/>
    <cellStyle name="Normal 2 36 13 2 2" xfId="3842"/>
    <cellStyle name="Normal 2 36 13 3" xfId="3843"/>
    <cellStyle name="Normal 2 36 14" xfId="3844"/>
    <cellStyle name="Normal 2 36 14 2" xfId="3845"/>
    <cellStyle name="Normal 2 36 14 2 2" xfId="3846"/>
    <cellStyle name="Normal 2 36 14 3" xfId="3847"/>
    <cellStyle name="Normal 2 36 15" xfId="3848"/>
    <cellStyle name="Normal 2 36 15 2" xfId="3849"/>
    <cellStyle name="Normal 2 36 15 2 2" xfId="3850"/>
    <cellStyle name="Normal 2 36 15 3" xfId="3851"/>
    <cellStyle name="Normal 2 36 16" xfId="3852"/>
    <cellStyle name="Normal 2 36 16 2" xfId="3853"/>
    <cellStyle name="Normal 2 36 16 2 2" xfId="3854"/>
    <cellStyle name="Normal 2 36 16 3" xfId="3855"/>
    <cellStyle name="Normal 2 36 17" xfId="3856"/>
    <cellStyle name="Normal 2 36 17 2" xfId="3857"/>
    <cellStyle name="Normal 2 36 17 2 2" xfId="3858"/>
    <cellStyle name="Normal 2 36 17 3" xfId="3859"/>
    <cellStyle name="Normal 2 36 18" xfId="3860"/>
    <cellStyle name="Normal 2 36 18 2" xfId="3861"/>
    <cellStyle name="Normal 2 36 18 2 2" xfId="3862"/>
    <cellStyle name="Normal 2 36 18 3" xfId="3863"/>
    <cellStyle name="Normal 2 36 19" xfId="3864"/>
    <cellStyle name="Normal 2 36 19 2" xfId="3865"/>
    <cellStyle name="Normal 2 36 19 2 2" xfId="3866"/>
    <cellStyle name="Normal 2 36 19 3" xfId="3867"/>
    <cellStyle name="Normal 2 36 2" xfId="3868"/>
    <cellStyle name="Normal 2 36 2 2" xfId="3869"/>
    <cellStyle name="Normal 2 36 2 2 2" xfId="3870"/>
    <cellStyle name="Normal 2 36 2 3" xfId="3871"/>
    <cellStyle name="Normal 2 36 20" xfId="3872"/>
    <cellStyle name="Normal 2 36 20 2" xfId="3873"/>
    <cellStyle name="Normal 2 36 20 2 2" xfId="3874"/>
    <cellStyle name="Normal 2 36 20 3" xfId="3875"/>
    <cellStyle name="Normal 2 36 21" xfId="3876"/>
    <cellStyle name="Normal 2 36 21 2" xfId="3877"/>
    <cellStyle name="Normal 2 36 21 2 2" xfId="3878"/>
    <cellStyle name="Normal 2 36 21 3" xfId="3879"/>
    <cellStyle name="Normal 2 36 22" xfId="3880"/>
    <cellStyle name="Normal 2 36 22 2" xfId="3881"/>
    <cellStyle name="Normal 2 36 22 2 2" xfId="3882"/>
    <cellStyle name="Normal 2 36 22 3" xfId="3883"/>
    <cellStyle name="Normal 2 36 23" xfId="3884"/>
    <cellStyle name="Normal 2 36 23 2" xfId="3885"/>
    <cellStyle name="Normal 2 36 23 2 2" xfId="3886"/>
    <cellStyle name="Normal 2 36 23 3" xfId="3887"/>
    <cellStyle name="Normal 2 36 24" xfId="3888"/>
    <cellStyle name="Normal 2 36 24 2" xfId="3889"/>
    <cellStyle name="Normal 2 36 25" xfId="3890"/>
    <cellStyle name="Normal 2 36 3" xfId="3891"/>
    <cellStyle name="Normal 2 36 3 2" xfId="3892"/>
    <cellStyle name="Normal 2 36 3 2 2" xfId="3893"/>
    <cellStyle name="Normal 2 36 3 3" xfId="3894"/>
    <cellStyle name="Normal 2 36 4" xfId="3895"/>
    <cellStyle name="Normal 2 36 4 2" xfId="3896"/>
    <cellStyle name="Normal 2 36 4 2 2" xfId="3897"/>
    <cellStyle name="Normal 2 36 4 3" xfId="3898"/>
    <cellStyle name="Normal 2 36 5" xfId="3899"/>
    <cellStyle name="Normal 2 36 5 2" xfId="3900"/>
    <cellStyle name="Normal 2 36 5 2 2" xfId="3901"/>
    <cellStyle name="Normal 2 36 5 3" xfId="3902"/>
    <cellStyle name="Normal 2 36 6" xfId="3903"/>
    <cellStyle name="Normal 2 36 6 2" xfId="3904"/>
    <cellStyle name="Normal 2 36 6 2 2" xfId="3905"/>
    <cellStyle name="Normal 2 36 6 3" xfId="3906"/>
    <cellStyle name="Normal 2 36 7" xfId="3907"/>
    <cellStyle name="Normal 2 36 7 2" xfId="3908"/>
    <cellStyle name="Normal 2 36 7 2 2" xfId="3909"/>
    <cellStyle name="Normal 2 36 7 3" xfId="3910"/>
    <cellStyle name="Normal 2 36 8" xfId="3911"/>
    <cellStyle name="Normal 2 36 8 2" xfId="3912"/>
    <cellStyle name="Normal 2 36 8 2 2" xfId="3913"/>
    <cellStyle name="Normal 2 36 8 3" xfId="3914"/>
    <cellStyle name="Normal 2 36 9" xfId="3915"/>
    <cellStyle name="Normal 2 36 9 2" xfId="3916"/>
    <cellStyle name="Normal 2 36 9 2 2" xfId="3917"/>
    <cellStyle name="Normal 2 36 9 3" xfId="3918"/>
    <cellStyle name="Normal 2 37" xfId="3919"/>
    <cellStyle name="Normal 2 37 10" xfId="3920"/>
    <cellStyle name="Normal 2 37 10 2" xfId="3921"/>
    <cellStyle name="Normal 2 37 10 2 2" xfId="3922"/>
    <cellStyle name="Normal 2 37 10 3" xfId="3923"/>
    <cellStyle name="Normal 2 37 11" xfId="3924"/>
    <cellStyle name="Normal 2 37 11 2" xfId="3925"/>
    <cellStyle name="Normal 2 37 11 2 2" xfId="3926"/>
    <cellStyle name="Normal 2 37 11 3" xfId="3927"/>
    <cellStyle name="Normal 2 37 12" xfId="3928"/>
    <cellStyle name="Normal 2 37 12 2" xfId="3929"/>
    <cellStyle name="Normal 2 37 12 2 2" xfId="3930"/>
    <cellStyle name="Normal 2 37 12 3" xfId="3931"/>
    <cellStyle name="Normal 2 37 13" xfId="3932"/>
    <cellStyle name="Normal 2 37 13 2" xfId="3933"/>
    <cellStyle name="Normal 2 37 13 2 2" xfId="3934"/>
    <cellStyle name="Normal 2 37 13 3" xfId="3935"/>
    <cellStyle name="Normal 2 37 14" xfId="3936"/>
    <cellStyle name="Normal 2 37 14 2" xfId="3937"/>
    <cellStyle name="Normal 2 37 14 2 2" xfId="3938"/>
    <cellStyle name="Normal 2 37 14 3" xfId="3939"/>
    <cellStyle name="Normal 2 37 15" xfId="3940"/>
    <cellStyle name="Normal 2 37 15 2" xfId="3941"/>
    <cellStyle name="Normal 2 37 15 2 2" xfId="3942"/>
    <cellStyle name="Normal 2 37 15 3" xfId="3943"/>
    <cellStyle name="Normal 2 37 16" xfId="3944"/>
    <cellStyle name="Normal 2 37 16 2" xfId="3945"/>
    <cellStyle name="Normal 2 37 16 2 2" xfId="3946"/>
    <cellStyle name="Normal 2 37 16 3" xfId="3947"/>
    <cellStyle name="Normal 2 37 17" xfId="3948"/>
    <cellStyle name="Normal 2 37 17 2" xfId="3949"/>
    <cellStyle name="Normal 2 37 17 2 2" xfId="3950"/>
    <cellStyle name="Normal 2 37 17 3" xfId="3951"/>
    <cellStyle name="Normal 2 37 18" xfId="3952"/>
    <cellStyle name="Normal 2 37 18 2" xfId="3953"/>
    <cellStyle name="Normal 2 37 18 2 2" xfId="3954"/>
    <cellStyle name="Normal 2 37 18 3" xfId="3955"/>
    <cellStyle name="Normal 2 37 19" xfId="3956"/>
    <cellStyle name="Normal 2 37 19 2" xfId="3957"/>
    <cellStyle name="Normal 2 37 19 2 2" xfId="3958"/>
    <cellStyle name="Normal 2 37 19 3" xfId="3959"/>
    <cellStyle name="Normal 2 37 2" xfId="3960"/>
    <cellStyle name="Normal 2 37 2 2" xfId="3961"/>
    <cellStyle name="Normal 2 37 2 2 2" xfId="3962"/>
    <cellStyle name="Normal 2 37 2 3" xfId="3963"/>
    <cellStyle name="Normal 2 37 20" xfId="3964"/>
    <cellStyle name="Normal 2 37 20 2" xfId="3965"/>
    <cellStyle name="Normal 2 37 20 2 2" xfId="3966"/>
    <cellStyle name="Normal 2 37 20 3" xfId="3967"/>
    <cellStyle name="Normal 2 37 21" xfId="3968"/>
    <cellStyle name="Normal 2 37 21 2" xfId="3969"/>
    <cellStyle name="Normal 2 37 21 2 2" xfId="3970"/>
    <cellStyle name="Normal 2 37 21 3" xfId="3971"/>
    <cellStyle name="Normal 2 37 22" xfId="3972"/>
    <cellStyle name="Normal 2 37 22 2" xfId="3973"/>
    <cellStyle name="Normal 2 37 22 2 2" xfId="3974"/>
    <cellStyle name="Normal 2 37 22 3" xfId="3975"/>
    <cellStyle name="Normal 2 37 23" xfId="3976"/>
    <cellStyle name="Normal 2 37 23 2" xfId="3977"/>
    <cellStyle name="Normal 2 37 23 2 2" xfId="3978"/>
    <cellStyle name="Normal 2 37 23 3" xfId="3979"/>
    <cellStyle name="Normal 2 37 24" xfId="3980"/>
    <cellStyle name="Normal 2 37 24 2" xfId="3981"/>
    <cellStyle name="Normal 2 37 25" xfId="3982"/>
    <cellStyle name="Normal 2 37 3" xfId="3983"/>
    <cellStyle name="Normal 2 37 3 2" xfId="3984"/>
    <cellStyle name="Normal 2 37 3 2 2" xfId="3985"/>
    <cellStyle name="Normal 2 37 3 3" xfId="3986"/>
    <cellStyle name="Normal 2 37 4" xfId="3987"/>
    <cellStyle name="Normal 2 37 4 2" xfId="3988"/>
    <cellStyle name="Normal 2 37 4 2 2" xfId="3989"/>
    <cellStyle name="Normal 2 37 4 3" xfId="3990"/>
    <cellStyle name="Normal 2 37 5" xfId="3991"/>
    <cellStyle name="Normal 2 37 5 2" xfId="3992"/>
    <cellStyle name="Normal 2 37 5 2 2" xfId="3993"/>
    <cellStyle name="Normal 2 37 5 3" xfId="3994"/>
    <cellStyle name="Normal 2 37 6" xfId="3995"/>
    <cellStyle name="Normal 2 37 6 2" xfId="3996"/>
    <cellStyle name="Normal 2 37 6 2 2" xfId="3997"/>
    <cellStyle name="Normal 2 37 6 3" xfId="3998"/>
    <cellStyle name="Normal 2 37 7" xfId="3999"/>
    <cellStyle name="Normal 2 37 7 2" xfId="4000"/>
    <cellStyle name="Normal 2 37 7 2 2" xfId="4001"/>
    <cellStyle name="Normal 2 37 7 3" xfId="4002"/>
    <cellStyle name="Normal 2 37 8" xfId="4003"/>
    <cellStyle name="Normal 2 37 8 2" xfId="4004"/>
    <cellStyle name="Normal 2 37 8 2 2" xfId="4005"/>
    <cellStyle name="Normal 2 37 8 3" xfId="4006"/>
    <cellStyle name="Normal 2 37 9" xfId="4007"/>
    <cellStyle name="Normal 2 37 9 2" xfId="4008"/>
    <cellStyle name="Normal 2 37 9 2 2" xfId="4009"/>
    <cellStyle name="Normal 2 37 9 3" xfId="4010"/>
    <cellStyle name="Normal 2 38" xfId="4011"/>
    <cellStyle name="Normal 2 38 10" xfId="4012"/>
    <cellStyle name="Normal 2 38 10 2" xfId="4013"/>
    <cellStyle name="Normal 2 38 10 2 2" xfId="4014"/>
    <cellStyle name="Normal 2 38 10 3" xfId="4015"/>
    <cellStyle name="Normal 2 38 11" xfId="4016"/>
    <cellStyle name="Normal 2 38 11 2" xfId="4017"/>
    <cellStyle name="Normal 2 38 11 2 2" xfId="4018"/>
    <cellStyle name="Normal 2 38 11 3" xfId="4019"/>
    <cellStyle name="Normal 2 38 12" xfId="4020"/>
    <cellStyle name="Normal 2 38 12 2" xfId="4021"/>
    <cellStyle name="Normal 2 38 12 2 2" xfId="4022"/>
    <cellStyle name="Normal 2 38 12 3" xfId="4023"/>
    <cellStyle name="Normal 2 38 13" xfId="4024"/>
    <cellStyle name="Normal 2 38 13 2" xfId="4025"/>
    <cellStyle name="Normal 2 38 13 2 2" xfId="4026"/>
    <cellStyle name="Normal 2 38 13 3" xfId="4027"/>
    <cellStyle name="Normal 2 38 14" xfId="4028"/>
    <cellStyle name="Normal 2 38 14 2" xfId="4029"/>
    <cellStyle name="Normal 2 38 14 2 2" xfId="4030"/>
    <cellStyle name="Normal 2 38 14 3" xfId="4031"/>
    <cellStyle name="Normal 2 38 15" xfId="4032"/>
    <cellStyle name="Normal 2 38 15 2" xfId="4033"/>
    <cellStyle name="Normal 2 38 15 2 2" xfId="4034"/>
    <cellStyle name="Normal 2 38 15 3" xfId="4035"/>
    <cellStyle name="Normal 2 38 16" xfId="4036"/>
    <cellStyle name="Normal 2 38 16 2" xfId="4037"/>
    <cellStyle name="Normal 2 38 16 2 2" xfId="4038"/>
    <cellStyle name="Normal 2 38 16 3" xfId="4039"/>
    <cellStyle name="Normal 2 38 17" xfId="4040"/>
    <cellStyle name="Normal 2 38 17 2" xfId="4041"/>
    <cellStyle name="Normal 2 38 17 2 2" xfId="4042"/>
    <cellStyle name="Normal 2 38 17 3" xfId="4043"/>
    <cellStyle name="Normal 2 38 18" xfId="4044"/>
    <cellStyle name="Normal 2 38 18 2" xfId="4045"/>
    <cellStyle name="Normal 2 38 18 2 2" xfId="4046"/>
    <cellStyle name="Normal 2 38 18 3" xfId="4047"/>
    <cellStyle name="Normal 2 38 19" xfId="4048"/>
    <cellStyle name="Normal 2 38 19 2" xfId="4049"/>
    <cellStyle name="Normal 2 38 19 2 2" xfId="4050"/>
    <cellStyle name="Normal 2 38 19 3" xfId="4051"/>
    <cellStyle name="Normal 2 38 2" xfId="4052"/>
    <cellStyle name="Normal 2 38 2 2" xfId="4053"/>
    <cellStyle name="Normal 2 38 2 2 2" xfId="4054"/>
    <cellStyle name="Normal 2 38 2 3" xfId="4055"/>
    <cellStyle name="Normal 2 38 20" xfId="4056"/>
    <cellStyle name="Normal 2 38 20 2" xfId="4057"/>
    <cellStyle name="Normal 2 38 20 2 2" xfId="4058"/>
    <cellStyle name="Normal 2 38 20 3" xfId="4059"/>
    <cellStyle name="Normal 2 38 21" xfId="4060"/>
    <cellStyle name="Normal 2 38 21 2" xfId="4061"/>
    <cellStyle name="Normal 2 38 21 2 2" xfId="4062"/>
    <cellStyle name="Normal 2 38 21 3" xfId="4063"/>
    <cellStyle name="Normal 2 38 22" xfId="4064"/>
    <cellStyle name="Normal 2 38 22 2" xfId="4065"/>
    <cellStyle name="Normal 2 38 22 2 2" xfId="4066"/>
    <cellStyle name="Normal 2 38 22 3" xfId="4067"/>
    <cellStyle name="Normal 2 38 23" xfId="4068"/>
    <cellStyle name="Normal 2 38 23 2" xfId="4069"/>
    <cellStyle name="Normal 2 38 23 2 2" xfId="4070"/>
    <cellStyle name="Normal 2 38 23 3" xfId="4071"/>
    <cellStyle name="Normal 2 38 24" xfId="4072"/>
    <cellStyle name="Normal 2 38 24 2" xfId="4073"/>
    <cellStyle name="Normal 2 38 25" xfId="4074"/>
    <cellStyle name="Normal 2 38 3" xfId="4075"/>
    <cellStyle name="Normal 2 38 3 2" xfId="4076"/>
    <cellStyle name="Normal 2 38 3 2 2" xfId="4077"/>
    <cellStyle name="Normal 2 38 3 3" xfId="4078"/>
    <cellStyle name="Normal 2 38 4" xfId="4079"/>
    <cellStyle name="Normal 2 38 4 2" xfId="4080"/>
    <cellStyle name="Normal 2 38 4 2 2" xfId="4081"/>
    <cellStyle name="Normal 2 38 4 3" xfId="4082"/>
    <cellStyle name="Normal 2 38 5" xfId="4083"/>
    <cellStyle name="Normal 2 38 5 2" xfId="4084"/>
    <cellStyle name="Normal 2 38 5 2 2" xfId="4085"/>
    <cellStyle name="Normal 2 38 5 3" xfId="4086"/>
    <cellStyle name="Normal 2 38 6" xfId="4087"/>
    <cellStyle name="Normal 2 38 6 2" xfId="4088"/>
    <cellStyle name="Normal 2 38 6 2 2" xfId="4089"/>
    <cellStyle name="Normal 2 38 6 3" xfId="4090"/>
    <cellStyle name="Normal 2 38 7" xfId="4091"/>
    <cellStyle name="Normal 2 38 7 2" xfId="4092"/>
    <cellStyle name="Normal 2 38 7 2 2" xfId="4093"/>
    <cellStyle name="Normal 2 38 7 3" xfId="4094"/>
    <cellStyle name="Normal 2 38 8" xfId="4095"/>
    <cellStyle name="Normal 2 38 8 2" xfId="4096"/>
    <cellStyle name="Normal 2 38 8 2 2" xfId="4097"/>
    <cellStyle name="Normal 2 38 8 3" xfId="4098"/>
    <cellStyle name="Normal 2 38 9" xfId="4099"/>
    <cellStyle name="Normal 2 38 9 2" xfId="4100"/>
    <cellStyle name="Normal 2 38 9 2 2" xfId="4101"/>
    <cellStyle name="Normal 2 38 9 3" xfId="4102"/>
    <cellStyle name="Normal 2 39" xfId="4103"/>
    <cellStyle name="Normal 2 39 10" xfId="4104"/>
    <cellStyle name="Normal 2 39 10 2" xfId="4105"/>
    <cellStyle name="Normal 2 39 10 2 2" xfId="4106"/>
    <cellStyle name="Normal 2 39 10 3" xfId="4107"/>
    <cellStyle name="Normal 2 39 11" xfId="4108"/>
    <cellStyle name="Normal 2 39 11 2" xfId="4109"/>
    <cellStyle name="Normal 2 39 11 2 2" xfId="4110"/>
    <cellStyle name="Normal 2 39 11 3" xfId="4111"/>
    <cellStyle name="Normal 2 39 12" xfId="4112"/>
    <cellStyle name="Normal 2 39 12 2" xfId="4113"/>
    <cellStyle name="Normal 2 39 12 2 2" xfId="4114"/>
    <cellStyle name="Normal 2 39 12 3" xfId="4115"/>
    <cellStyle name="Normal 2 39 13" xfId="4116"/>
    <cellStyle name="Normal 2 39 13 2" xfId="4117"/>
    <cellStyle name="Normal 2 39 13 2 2" xfId="4118"/>
    <cellStyle name="Normal 2 39 13 3" xfId="4119"/>
    <cellStyle name="Normal 2 39 14" xfId="4120"/>
    <cellStyle name="Normal 2 39 14 2" xfId="4121"/>
    <cellStyle name="Normal 2 39 14 2 2" xfId="4122"/>
    <cellStyle name="Normal 2 39 14 3" xfId="4123"/>
    <cellStyle name="Normal 2 39 15" xfId="4124"/>
    <cellStyle name="Normal 2 39 15 2" xfId="4125"/>
    <cellStyle name="Normal 2 39 15 2 2" xfId="4126"/>
    <cellStyle name="Normal 2 39 15 3" xfId="4127"/>
    <cellStyle name="Normal 2 39 16" xfId="4128"/>
    <cellStyle name="Normal 2 39 16 2" xfId="4129"/>
    <cellStyle name="Normal 2 39 16 2 2" xfId="4130"/>
    <cellStyle name="Normal 2 39 16 3" xfId="4131"/>
    <cellStyle name="Normal 2 39 17" xfId="4132"/>
    <cellStyle name="Normal 2 39 17 2" xfId="4133"/>
    <cellStyle name="Normal 2 39 17 2 2" xfId="4134"/>
    <cellStyle name="Normal 2 39 17 3" xfId="4135"/>
    <cellStyle name="Normal 2 39 18" xfId="4136"/>
    <cellStyle name="Normal 2 39 18 2" xfId="4137"/>
    <cellStyle name="Normal 2 39 18 2 2" xfId="4138"/>
    <cellStyle name="Normal 2 39 18 3" xfId="4139"/>
    <cellStyle name="Normal 2 39 19" xfId="4140"/>
    <cellStyle name="Normal 2 39 19 2" xfId="4141"/>
    <cellStyle name="Normal 2 39 19 2 2" xfId="4142"/>
    <cellStyle name="Normal 2 39 19 3" xfId="4143"/>
    <cellStyle name="Normal 2 39 2" xfId="4144"/>
    <cellStyle name="Normal 2 39 2 2" xfId="4145"/>
    <cellStyle name="Normal 2 39 2 2 2" xfId="4146"/>
    <cellStyle name="Normal 2 39 2 3" xfId="4147"/>
    <cellStyle name="Normal 2 39 20" xfId="4148"/>
    <cellStyle name="Normal 2 39 20 2" xfId="4149"/>
    <cellStyle name="Normal 2 39 20 2 2" xfId="4150"/>
    <cellStyle name="Normal 2 39 20 3" xfId="4151"/>
    <cellStyle name="Normal 2 39 21" xfId="4152"/>
    <cellStyle name="Normal 2 39 21 2" xfId="4153"/>
    <cellStyle name="Normal 2 39 21 2 2" xfId="4154"/>
    <cellStyle name="Normal 2 39 21 3" xfId="4155"/>
    <cellStyle name="Normal 2 39 22" xfId="4156"/>
    <cellStyle name="Normal 2 39 22 2" xfId="4157"/>
    <cellStyle name="Normal 2 39 22 2 2" xfId="4158"/>
    <cellStyle name="Normal 2 39 22 3" xfId="4159"/>
    <cellStyle name="Normal 2 39 23" xfId="4160"/>
    <cellStyle name="Normal 2 39 23 2" xfId="4161"/>
    <cellStyle name="Normal 2 39 23 2 2" xfId="4162"/>
    <cellStyle name="Normal 2 39 23 3" xfId="4163"/>
    <cellStyle name="Normal 2 39 24" xfId="4164"/>
    <cellStyle name="Normal 2 39 24 2" xfId="4165"/>
    <cellStyle name="Normal 2 39 25" xfId="4166"/>
    <cellStyle name="Normal 2 39 3" xfId="4167"/>
    <cellStyle name="Normal 2 39 3 2" xfId="4168"/>
    <cellStyle name="Normal 2 39 3 2 2" xfId="4169"/>
    <cellStyle name="Normal 2 39 3 3" xfId="4170"/>
    <cellStyle name="Normal 2 39 4" xfId="4171"/>
    <cellStyle name="Normal 2 39 4 2" xfId="4172"/>
    <cellStyle name="Normal 2 39 4 2 2" xfId="4173"/>
    <cellStyle name="Normal 2 39 4 3" xfId="4174"/>
    <cellStyle name="Normal 2 39 5" xfId="4175"/>
    <cellStyle name="Normal 2 39 5 2" xfId="4176"/>
    <cellStyle name="Normal 2 39 5 2 2" xfId="4177"/>
    <cellStyle name="Normal 2 39 5 3" xfId="4178"/>
    <cellStyle name="Normal 2 39 6" xfId="4179"/>
    <cellStyle name="Normal 2 39 6 2" xfId="4180"/>
    <cellStyle name="Normal 2 39 6 2 2" xfId="4181"/>
    <cellStyle name="Normal 2 39 6 3" xfId="4182"/>
    <cellStyle name="Normal 2 39 7" xfId="4183"/>
    <cellStyle name="Normal 2 39 7 2" xfId="4184"/>
    <cellStyle name="Normal 2 39 7 2 2" xfId="4185"/>
    <cellStyle name="Normal 2 39 7 3" xfId="4186"/>
    <cellStyle name="Normal 2 39 8" xfId="4187"/>
    <cellStyle name="Normal 2 39 8 2" xfId="4188"/>
    <cellStyle name="Normal 2 39 8 2 2" xfId="4189"/>
    <cellStyle name="Normal 2 39 8 3" xfId="4190"/>
    <cellStyle name="Normal 2 39 9" xfId="4191"/>
    <cellStyle name="Normal 2 39 9 2" xfId="4192"/>
    <cellStyle name="Normal 2 39 9 2 2" xfId="4193"/>
    <cellStyle name="Normal 2 39 9 3" xfId="4194"/>
    <cellStyle name="Normal 2 4" xfId="38"/>
    <cellStyle name="Normal 2 4 2" xfId="128"/>
    <cellStyle name="Normal 2 4 2 2" xfId="999"/>
    <cellStyle name="Normal 2 4 2 3" xfId="1000"/>
    <cellStyle name="Normal 2 4 2 4" xfId="1001"/>
    <cellStyle name="Normal 2 4 3" xfId="73"/>
    <cellStyle name="Normal 2 4 3 2" xfId="4195"/>
    <cellStyle name="Normal 2 4 4" xfId="1002"/>
    <cellStyle name="Normal 2 4 5" xfId="4196"/>
    <cellStyle name="Normal 2 4 6" xfId="4197"/>
    <cellStyle name="Normal 2 40" xfId="4198"/>
    <cellStyle name="Normal 2 40 2" xfId="4199"/>
    <cellStyle name="Normal 2 40 2 2" xfId="4200"/>
    <cellStyle name="Normal 2 40 3" xfId="4201"/>
    <cellStyle name="Normal 2 41" xfId="4202"/>
    <cellStyle name="Normal 2 41 2" xfId="4203"/>
    <cellStyle name="Normal 2 41 2 2" xfId="4204"/>
    <cellStyle name="Normal 2 41 3" xfId="4205"/>
    <cellStyle name="Normal 2 42" xfId="4206"/>
    <cellStyle name="Normal 2 42 2" xfId="4207"/>
    <cellStyle name="Normal 2 42 2 2" xfId="4208"/>
    <cellStyle name="Normal 2 42 3" xfId="4209"/>
    <cellStyle name="Normal 2 43" xfId="4210"/>
    <cellStyle name="Normal 2 43 2" xfId="4211"/>
    <cellStyle name="Normal 2 43 2 2" xfId="4212"/>
    <cellStyle name="Normal 2 43 3" xfId="4213"/>
    <cellStyle name="Normal 2 44" xfId="4214"/>
    <cellStyle name="Normal 2 44 2" xfId="4215"/>
    <cellStyle name="Normal 2 44 2 2" xfId="4216"/>
    <cellStyle name="Normal 2 44 3" xfId="4217"/>
    <cellStyle name="Normal 2 45" xfId="4218"/>
    <cellStyle name="Normal 2 45 2" xfId="4219"/>
    <cellStyle name="Normal 2 45 2 2" xfId="4220"/>
    <cellStyle name="Normal 2 45 3" xfId="4221"/>
    <cellStyle name="Normal 2 46" xfId="4222"/>
    <cellStyle name="Normal 2 46 2" xfId="4223"/>
    <cellStyle name="Normal 2 46 2 2" xfId="4224"/>
    <cellStyle name="Normal 2 46 3" xfId="4225"/>
    <cellStyle name="Normal 2 47" xfId="4226"/>
    <cellStyle name="Normal 2 47 2" xfId="4227"/>
    <cellStyle name="Normal 2 47 2 2" xfId="4228"/>
    <cellStyle name="Normal 2 47 3" xfId="4229"/>
    <cellStyle name="Normal 2 48" xfId="4230"/>
    <cellStyle name="Normal 2 48 2" xfId="4231"/>
    <cellStyle name="Normal 2 48 2 2" xfId="4232"/>
    <cellStyle name="Normal 2 48 3" xfId="4233"/>
    <cellStyle name="Normal 2 49" xfId="4234"/>
    <cellStyle name="Normal 2 49 2" xfId="4235"/>
    <cellStyle name="Normal 2 49 2 2" xfId="4236"/>
    <cellStyle name="Normal 2 49 3" xfId="4237"/>
    <cellStyle name="Normal 2 5" xfId="39"/>
    <cellStyle name="Normal 2 5 10" xfId="4238"/>
    <cellStyle name="Normal 2 5 10 2" xfId="4239"/>
    <cellStyle name="Normal 2 5 10 2 2" xfId="4240"/>
    <cellStyle name="Normal 2 5 10 3" xfId="4241"/>
    <cellStyle name="Normal 2 5 11" xfId="4242"/>
    <cellStyle name="Normal 2 5 11 2" xfId="4243"/>
    <cellStyle name="Normal 2 5 11 2 2" xfId="4244"/>
    <cellStyle name="Normal 2 5 11 3" xfId="4245"/>
    <cellStyle name="Normal 2 5 12" xfId="4246"/>
    <cellStyle name="Normal 2 5 12 2" xfId="4247"/>
    <cellStyle name="Normal 2 5 12 2 2" xfId="4248"/>
    <cellStyle name="Normal 2 5 12 3" xfId="4249"/>
    <cellStyle name="Normal 2 5 13" xfId="4250"/>
    <cellStyle name="Normal 2 5 13 2" xfId="4251"/>
    <cellStyle name="Normal 2 5 13 2 2" xfId="4252"/>
    <cellStyle name="Normal 2 5 13 3" xfId="4253"/>
    <cellStyle name="Normal 2 5 14" xfId="4254"/>
    <cellStyle name="Normal 2 5 14 2" xfId="4255"/>
    <cellStyle name="Normal 2 5 14 2 2" xfId="4256"/>
    <cellStyle name="Normal 2 5 14 3" xfId="4257"/>
    <cellStyle name="Normal 2 5 15" xfId="4258"/>
    <cellStyle name="Normal 2 5 15 2" xfId="4259"/>
    <cellStyle name="Normal 2 5 15 2 2" xfId="4260"/>
    <cellStyle name="Normal 2 5 15 3" xfId="4261"/>
    <cellStyle name="Normal 2 5 16" xfId="4262"/>
    <cellStyle name="Normal 2 5 16 2" xfId="4263"/>
    <cellStyle name="Normal 2 5 16 2 2" xfId="4264"/>
    <cellStyle name="Normal 2 5 16 3" xfId="4265"/>
    <cellStyle name="Normal 2 5 17" xfId="4266"/>
    <cellStyle name="Normal 2 5 17 2" xfId="4267"/>
    <cellStyle name="Normal 2 5 17 2 2" xfId="4268"/>
    <cellStyle name="Normal 2 5 17 3" xfId="4269"/>
    <cellStyle name="Normal 2 5 18" xfId="4270"/>
    <cellStyle name="Normal 2 5 18 2" xfId="4271"/>
    <cellStyle name="Normal 2 5 18 2 2" xfId="4272"/>
    <cellStyle name="Normal 2 5 18 3" xfId="4273"/>
    <cellStyle name="Normal 2 5 19" xfId="4274"/>
    <cellStyle name="Normal 2 5 19 2" xfId="4275"/>
    <cellStyle name="Normal 2 5 19 2 2" xfId="4276"/>
    <cellStyle name="Normal 2 5 19 3" xfId="4277"/>
    <cellStyle name="Normal 2 5 2" xfId="1003"/>
    <cellStyle name="Normal 2 5 2 10" xfId="4278"/>
    <cellStyle name="Normal 2 5 2 10 2" xfId="4279"/>
    <cellStyle name="Normal 2 5 2 10 2 2" xfId="4280"/>
    <cellStyle name="Normal 2 5 2 10 3" xfId="4281"/>
    <cellStyle name="Normal 2 5 2 11" xfId="4282"/>
    <cellStyle name="Normal 2 5 2 11 2" xfId="4283"/>
    <cellStyle name="Normal 2 5 2 11 2 2" xfId="4284"/>
    <cellStyle name="Normal 2 5 2 11 3" xfId="4285"/>
    <cellStyle name="Normal 2 5 2 12" xfId="4286"/>
    <cellStyle name="Normal 2 5 2 12 2" xfId="4287"/>
    <cellStyle name="Normal 2 5 2 12 2 2" xfId="4288"/>
    <cellStyle name="Normal 2 5 2 12 3" xfId="4289"/>
    <cellStyle name="Normal 2 5 2 13" xfId="4290"/>
    <cellStyle name="Normal 2 5 2 13 2" xfId="4291"/>
    <cellStyle name="Normal 2 5 2 13 2 2" xfId="4292"/>
    <cellStyle name="Normal 2 5 2 13 3" xfId="4293"/>
    <cellStyle name="Normal 2 5 2 14" xfId="4294"/>
    <cellStyle name="Normal 2 5 2 14 2" xfId="4295"/>
    <cellStyle name="Normal 2 5 2 14 2 2" xfId="4296"/>
    <cellStyle name="Normal 2 5 2 14 3" xfId="4297"/>
    <cellStyle name="Normal 2 5 2 15" xfId="4298"/>
    <cellStyle name="Normal 2 5 2 15 2" xfId="4299"/>
    <cellStyle name="Normal 2 5 2 15 2 2" xfId="4300"/>
    <cellStyle name="Normal 2 5 2 15 3" xfId="4301"/>
    <cellStyle name="Normal 2 5 2 16" xfId="4302"/>
    <cellStyle name="Normal 2 5 2 16 2" xfId="4303"/>
    <cellStyle name="Normal 2 5 2 16 2 2" xfId="4304"/>
    <cellStyle name="Normal 2 5 2 16 3" xfId="4305"/>
    <cellStyle name="Normal 2 5 2 17" xfId="4306"/>
    <cellStyle name="Normal 2 5 2 17 2" xfId="4307"/>
    <cellStyle name="Normal 2 5 2 17 2 2" xfId="4308"/>
    <cellStyle name="Normal 2 5 2 17 3" xfId="4309"/>
    <cellStyle name="Normal 2 5 2 18" xfId="4310"/>
    <cellStyle name="Normal 2 5 2 18 2" xfId="4311"/>
    <cellStyle name="Normal 2 5 2 18 2 2" xfId="4312"/>
    <cellStyle name="Normal 2 5 2 18 3" xfId="4313"/>
    <cellStyle name="Normal 2 5 2 19" xfId="4314"/>
    <cellStyle name="Normal 2 5 2 19 2" xfId="4315"/>
    <cellStyle name="Normal 2 5 2 19 2 2" xfId="4316"/>
    <cellStyle name="Normal 2 5 2 19 3" xfId="4317"/>
    <cellStyle name="Normal 2 5 2 2" xfId="4318"/>
    <cellStyle name="Normal 2 5 2 2 10" xfId="4319"/>
    <cellStyle name="Normal 2 5 2 2 10 2" xfId="4320"/>
    <cellStyle name="Normal 2 5 2 2 10 2 2" xfId="4321"/>
    <cellStyle name="Normal 2 5 2 2 10 3" xfId="4322"/>
    <cellStyle name="Normal 2 5 2 2 11" xfId="4323"/>
    <cellStyle name="Normal 2 5 2 2 11 2" xfId="4324"/>
    <cellStyle name="Normal 2 5 2 2 11 2 2" xfId="4325"/>
    <cellStyle name="Normal 2 5 2 2 11 3" xfId="4326"/>
    <cellStyle name="Normal 2 5 2 2 12" xfId="4327"/>
    <cellStyle name="Normal 2 5 2 2 12 2" xfId="4328"/>
    <cellStyle name="Normal 2 5 2 2 12 2 2" xfId="4329"/>
    <cellStyle name="Normal 2 5 2 2 12 3" xfId="4330"/>
    <cellStyle name="Normal 2 5 2 2 13" xfId="4331"/>
    <cellStyle name="Normal 2 5 2 2 13 2" xfId="4332"/>
    <cellStyle name="Normal 2 5 2 2 13 2 2" xfId="4333"/>
    <cellStyle name="Normal 2 5 2 2 13 3" xfId="4334"/>
    <cellStyle name="Normal 2 5 2 2 14" xfId="4335"/>
    <cellStyle name="Normal 2 5 2 2 14 2" xfId="4336"/>
    <cellStyle name="Normal 2 5 2 2 14 2 2" xfId="4337"/>
    <cellStyle name="Normal 2 5 2 2 14 3" xfId="4338"/>
    <cellStyle name="Normal 2 5 2 2 15" xfId="4339"/>
    <cellStyle name="Normal 2 5 2 2 15 2" xfId="4340"/>
    <cellStyle name="Normal 2 5 2 2 15 2 2" xfId="4341"/>
    <cellStyle name="Normal 2 5 2 2 15 3" xfId="4342"/>
    <cellStyle name="Normal 2 5 2 2 16" xfId="4343"/>
    <cellStyle name="Normal 2 5 2 2 16 2" xfId="4344"/>
    <cellStyle name="Normal 2 5 2 2 16 2 2" xfId="4345"/>
    <cellStyle name="Normal 2 5 2 2 16 3" xfId="4346"/>
    <cellStyle name="Normal 2 5 2 2 17" xfId="4347"/>
    <cellStyle name="Normal 2 5 2 2 17 2" xfId="4348"/>
    <cellStyle name="Normal 2 5 2 2 17 2 2" xfId="4349"/>
    <cellStyle name="Normal 2 5 2 2 17 3" xfId="4350"/>
    <cellStyle name="Normal 2 5 2 2 18" xfId="4351"/>
    <cellStyle name="Normal 2 5 2 2 18 2" xfId="4352"/>
    <cellStyle name="Normal 2 5 2 2 18 2 2" xfId="4353"/>
    <cellStyle name="Normal 2 5 2 2 18 3" xfId="4354"/>
    <cellStyle name="Normal 2 5 2 2 19" xfId="4355"/>
    <cellStyle name="Normal 2 5 2 2 19 2" xfId="4356"/>
    <cellStyle name="Normal 2 5 2 2 19 2 2" xfId="4357"/>
    <cellStyle name="Normal 2 5 2 2 19 3" xfId="4358"/>
    <cellStyle name="Normal 2 5 2 2 2" xfId="4359"/>
    <cellStyle name="Normal 2 5 2 2 2 2" xfId="4360"/>
    <cellStyle name="Normal 2 5 2 2 2 2 2" xfId="4361"/>
    <cellStyle name="Normal 2 5 2 2 2 3" xfId="4362"/>
    <cellStyle name="Normal 2 5 2 2 20" xfId="4363"/>
    <cellStyle name="Normal 2 5 2 2 20 2" xfId="4364"/>
    <cellStyle name="Normal 2 5 2 2 20 2 2" xfId="4365"/>
    <cellStyle name="Normal 2 5 2 2 20 3" xfId="4366"/>
    <cellStyle name="Normal 2 5 2 2 21" xfId="4367"/>
    <cellStyle name="Normal 2 5 2 2 21 2" xfId="4368"/>
    <cellStyle name="Normal 2 5 2 2 21 2 2" xfId="4369"/>
    <cellStyle name="Normal 2 5 2 2 21 3" xfId="4370"/>
    <cellStyle name="Normal 2 5 2 2 22" xfId="4371"/>
    <cellStyle name="Normal 2 5 2 2 22 2" xfId="4372"/>
    <cellStyle name="Normal 2 5 2 2 22 2 2" xfId="4373"/>
    <cellStyle name="Normal 2 5 2 2 22 3" xfId="4374"/>
    <cellStyle name="Normal 2 5 2 2 23" xfId="4375"/>
    <cellStyle name="Normal 2 5 2 2 23 2" xfId="4376"/>
    <cellStyle name="Normal 2 5 2 2 23 2 2" xfId="4377"/>
    <cellStyle name="Normal 2 5 2 2 23 3" xfId="4378"/>
    <cellStyle name="Normal 2 5 2 2 24" xfId="4379"/>
    <cellStyle name="Normal 2 5 2 2 24 2" xfId="4380"/>
    <cellStyle name="Normal 2 5 2 2 24 2 2" xfId="4381"/>
    <cellStyle name="Normal 2 5 2 2 24 3" xfId="4382"/>
    <cellStyle name="Normal 2 5 2 2 25" xfId="4383"/>
    <cellStyle name="Normal 2 5 2 2 25 2" xfId="4384"/>
    <cellStyle name="Normal 2 5 2 2 25 2 2" xfId="4385"/>
    <cellStyle name="Normal 2 5 2 2 25 3" xfId="4386"/>
    <cellStyle name="Normal 2 5 2 2 26" xfId="4387"/>
    <cellStyle name="Normal 2 5 2 2 26 2" xfId="4388"/>
    <cellStyle name="Normal 2 5 2 2 26 2 2" xfId="4389"/>
    <cellStyle name="Normal 2 5 2 2 26 3" xfId="4390"/>
    <cellStyle name="Normal 2 5 2 2 27" xfId="4391"/>
    <cellStyle name="Normal 2 5 2 2 27 2" xfId="4392"/>
    <cellStyle name="Normal 2 5 2 2 27 2 2" xfId="4393"/>
    <cellStyle name="Normal 2 5 2 2 27 3" xfId="4394"/>
    <cellStyle name="Normal 2 5 2 2 28" xfId="4395"/>
    <cellStyle name="Normal 2 5 2 2 28 2" xfId="4396"/>
    <cellStyle name="Normal 2 5 2 2 28 2 2" xfId="4397"/>
    <cellStyle name="Normal 2 5 2 2 28 3" xfId="4398"/>
    <cellStyle name="Normal 2 5 2 2 29" xfId="4399"/>
    <cellStyle name="Normal 2 5 2 2 29 2" xfId="4400"/>
    <cellStyle name="Normal 2 5 2 2 29 2 2" xfId="4401"/>
    <cellStyle name="Normal 2 5 2 2 29 3" xfId="4402"/>
    <cellStyle name="Normal 2 5 2 2 3" xfId="4403"/>
    <cellStyle name="Normal 2 5 2 2 3 2" xfId="4404"/>
    <cellStyle name="Normal 2 5 2 2 3 2 2" xfId="4405"/>
    <cellStyle name="Normal 2 5 2 2 3 3" xfId="4406"/>
    <cellStyle name="Normal 2 5 2 2 30" xfId="4407"/>
    <cellStyle name="Normal 2 5 2 2 30 2" xfId="4408"/>
    <cellStyle name="Normal 2 5 2 2 30 2 2" xfId="4409"/>
    <cellStyle name="Normal 2 5 2 2 30 3" xfId="4410"/>
    <cellStyle name="Normal 2 5 2 2 31" xfId="4411"/>
    <cellStyle name="Normal 2 5 2 2 31 2" xfId="4412"/>
    <cellStyle name="Normal 2 5 2 2 31 2 2" xfId="4413"/>
    <cellStyle name="Normal 2 5 2 2 31 3" xfId="4414"/>
    <cellStyle name="Normal 2 5 2 2 32" xfId="4415"/>
    <cellStyle name="Normal 2 5 2 2 32 2" xfId="4416"/>
    <cellStyle name="Normal 2 5 2 2 32 2 2" xfId="4417"/>
    <cellStyle name="Normal 2 5 2 2 32 3" xfId="4418"/>
    <cellStyle name="Normal 2 5 2 2 33" xfId="4419"/>
    <cellStyle name="Normal 2 5 2 2 33 2" xfId="4420"/>
    <cellStyle name="Normal 2 5 2 2 33 2 2" xfId="4421"/>
    <cellStyle name="Normal 2 5 2 2 33 3" xfId="4422"/>
    <cellStyle name="Normal 2 5 2 2 34" xfId="4423"/>
    <cellStyle name="Normal 2 5 2 2 34 2" xfId="4424"/>
    <cellStyle name="Normal 2 5 2 2 34 2 2" xfId="4425"/>
    <cellStyle name="Normal 2 5 2 2 34 3" xfId="4426"/>
    <cellStyle name="Normal 2 5 2 2 35" xfId="4427"/>
    <cellStyle name="Normal 2 5 2 2 35 2" xfId="4428"/>
    <cellStyle name="Normal 2 5 2 2 35 2 2" xfId="4429"/>
    <cellStyle name="Normal 2 5 2 2 35 3" xfId="4430"/>
    <cellStyle name="Normal 2 5 2 2 36" xfId="4431"/>
    <cellStyle name="Normal 2 5 2 2 36 2" xfId="4432"/>
    <cellStyle name="Normal 2 5 2 2 36 2 2" xfId="4433"/>
    <cellStyle name="Normal 2 5 2 2 36 3" xfId="4434"/>
    <cellStyle name="Normal 2 5 2 2 37" xfId="4435"/>
    <cellStyle name="Normal 2 5 2 2 37 2" xfId="4436"/>
    <cellStyle name="Normal 2 5 2 2 37 2 2" xfId="4437"/>
    <cellStyle name="Normal 2 5 2 2 37 3" xfId="4438"/>
    <cellStyle name="Normal 2 5 2 2 38" xfId="4439"/>
    <cellStyle name="Normal 2 5 2 2 38 2" xfId="4440"/>
    <cellStyle name="Normal 2 5 2 2 38 2 2" xfId="4441"/>
    <cellStyle name="Normal 2 5 2 2 38 3" xfId="4442"/>
    <cellStyle name="Normal 2 5 2 2 39" xfId="4443"/>
    <cellStyle name="Normal 2 5 2 2 39 2" xfId="4444"/>
    <cellStyle name="Normal 2 5 2 2 39 2 2" xfId="4445"/>
    <cellStyle name="Normal 2 5 2 2 39 3" xfId="4446"/>
    <cellStyle name="Normal 2 5 2 2 4" xfId="4447"/>
    <cellStyle name="Normal 2 5 2 2 4 2" xfId="4448"/>
    <cellStyle name="Normal 2 5 2 2 4 2 2" xfId="4449"/>
    <cellStyle name="Normal 2 5 2 2 4 3" xfId="4450"/>
    <cellStyle name="Normal 2 5 2 2 40" xfId="4451"/>
    <cellStyle name="Normal 2 5 2 2 40 2" xfId="4452"/>
    <cellStyle name="Normal 2 5 2 2 40 2 2" xfId="4453"/>
    <cellStyle name="Normal 2 5 2 2 40 3" xfId="4454"/>
    <cellStyle name="Normal 2 5 2 2 41" xfId="4455"/>
    <cellStyle name="Normal 2 5 2 2 41 2" xfId="4456"/>
    <cellStyle name="Normal 2 5 2 2 41 2 2" xfId="4457"/>
    <cellStyle name="Normal 2 5 2 2 41 3" xfId="4458"/>
    <cellStyle name="Normal 2 5 2 2 42" xfId="4459"/>
    <cellStyle name="Normal 2 5 2 2 42 2" xfId="4460"/>
    <cellStyle name="Normal 2 5 2 2 42 2 2" xfId="4461"/>
    <cellStyle name="Normal 2 5 2 2 42 3" xfId="4462"/>
    <cellStyle name="Normal 2 5 2 2 43" xfId="4463"/>
    <cellStyle name="Normal 2 5 2 2 43 2" xfId="4464"/>
    <cellStyle name="Normal 2 5 2 2 43 2 2" xfId="4465"/>
    <cellStyle name="Normal 2 5 2 2 43 3" xfId="4466"/>
    <cellStyle name="Normal 2 5 2 2 44" xfId="4467"/>
    <cellStyle name="Normal 2 5 2 2 44 2" xfId="4468"/>
    <cellStyle name="Normal 2 5 2 2 44 2 2" xfId="4469"/>
    <cellStyle name="Normal 2 5 2 2 44 3" xfId="4470"/>
    <cellStyle name="Normal 2 5 2 2 45" xfId="4471"/>
    <cellStyle name="Normal 2 5 2 2 45 2" xfId="4472"/>
    <cellStyle name="Normal 2 5 2 2 45 2 2" xfId="4473"/>
    <cellStyle name="Normal 2 5 2 2 45 3" xfId="4474"/>
    <cellStyle name="Normal 2 5 2 2 46" xfId="4475"/>
    <cellStyle name="Normal 2 5 2 2 46 2" xfId="4476"/>
    <cellStyle name="Normal 2 5 2 2 46 2 2" xfId="4477"/>
    <cellStyle name="Normal 2 5 2 2 46 3" xfId="4478"/>
    <cellStyle name="Normal 2 5 2 2 47" xfId="4479"/>
    <cellStyle name="Normal 2 5 2 2 47 2" xfId="4480"/>
    <cellStyle name="Normal 2 5 2 2 47 2 2" xfId="4481"/>
    <cellStyle name="Normal 2 5 2 2 47 3" xfId="4482"/>
    <cellStyle name="Normal 2 5 2 2 48" xfId="4483"/>
    <cellStyle name="Normal 2 5 2 2 48 2" xfId="4484"/>
    <cellStyle name="Normal 2 5 2 2 48 2 2" xfId="4485"/>
    <cellStyle name="Normal 2 5 2 2 48 3" xfId="4486"/>
    <cellStyle name="Normal 2 5 2 2 49" xfId="4487"/>
    <cellStyle name="Normal 2 5 2 2 49 2" xfId="4488"/>
    <cellStyle name="Normal 2 5 2 2 49 2 2" xfId="4489"/>
    <cellStyle name="Normal 2 5 2 2 49 3" xfId="4490"/>
    <cellStyle name="Normal 2 5 2 2 5" xfId="4491"/>
    <cellStyle name="Normal 2 5 2 2 5 2" xfId="4492"/>
    <cellStyle name="Normal 2 5 2 2 5 2 2" xfId="4493"/>
    <cellStyle name="Normal 2 5 2 2 5 3" xfId="4494"/>
    <cellStyle name="Normal 2 5 2 2 50" xfId="4495"/>
    <cellStyle name="Normal 2 5 2 2 50 2" xfId="4496"/>
    <cellStyle name="Normal 2 5 2 2 50 2 2" xfId="4497"/>
    <cellStyle name="Normal 2 5 2 2 50 3" xfId="4498"/>
    <cellStyle name="Normal 2 5 2 2 51" xfId="4499"/>
    <cellStyle name="Normal 2 5 2 2 51 2" xfId="4500"/>
    <cellStyle name="Normal 2 5 2 2 51 2 2" xfId="4501"/>
    <cellStyle name="Normal 2 5 2 2 51 3" xfId="4502"/>
    <cellStyle name="Normal 2 5 2 2 52" xfId="4503"/>
    <cellStyle name="Normal 2 5 2 2 52 2" xfId="4504"/>
    <cellStyle name="Normal 2 5 2 2 52 2 2" xfId="4505"/>
    <cellStyle name="Normal 2 5 2 2 52 3" xfId="4506"/>
    <cellStyle name="Normal 2 5 2 2 53" xfId="4507"/>
    <cellStyle name="Normal 2 5 2 2 53 2" xfId="4508"/>
    <cellStyle name="Normal 2 5 2 2 53 2 2" xfId="4509"/>
    <cellStyle name="Normal 2 5 2 2 53 3" xfId="4510"/>
    <cellStyle name="Normal 2 5 2 2 54" xfId="4511"/>
    <cellStyle name="Normal 2 5 2 2 54 2" xfId="4512"/>
    <cellStyle name="Normal 2 5 2 2 54 2 2" xfId="4513"/>
    <cellStyle name="Normal 2 5 2 2 54 3" xfId="4514"/>
    <cellStyle name="Normal 2 5 2 2 55" xfId="4515"/>
    <cellStyle name="Normal 2 5 2 2 55 2" xfId="4516"/>
    <cellStyle name="Normal 2 5 2 2 55 2 2" xfId="4517"/>
    <cellStyle name="Normal 2 5 2 2 55 3" xfId="4518"/>
    <cellStyle name="Normal 2 5 2 2 56" xfId="4519"/>
    <cellStyle name="Normal 2 5 2 2 56 2" xfId="4520"/>
    <cellStyle name="Normal 2 5 2 2 57" xfId="4521"/>
    <cellStyle name="Normal 2 5 2 2 6" xfId="4522"/>
    <cellStyle name="Normal 2 5 2 2 6 2" xfId="4523"/>
    <cellStyle name="Normal 2 5 2 2 6 2 2" xfId="4524"/>
    <cellStyle name="Normal 2 5 2 2 6 3" xfId="4525"/>
    <cellStyle name="Normal 2 5 2 2 7" xfId="4526"/>
    <cellStyle name="Normal 2 5 2 2 7 2" xfId="4527"/>
    <cellStyle name="Normal 2 5 2 2 7 2 2" xfId="4528"/>
    <cellStyle name="Normal 2 5 2 2 7 3" xfId="4529"/>
    <cellStyle name="Normal 2 5 2 2 8" xfId="4530"/>
    <cellStyle name="Normal 2 5 2 2 8 2" xfId="4531"/>
    <cellStyle name="Normal 2 5 2 2 8 2 2" xfId="4532"/>
    <cellStyle name="Normal 2 5 2 2 8 3" xfId="4533"/>
    <cellStyle name="Normal 2 5 2 2 9" xfId="4534"/>
    <cellStyle name="Normal 2 5 2 2 9 2" xfId="4535"/>
    <cellStyle name="Normal 2 5 2 2 9 2 2" xfId="4536"/>
    <cellStyle name="Normal 2 5 2 2 9 3" xfId="4537"/>
    <cellStyle name="Normal 2 5 2 20" xfId="4538"/>
    <cellStyle name="Normal 2 5 2 20 2" xfId="4539"/>
    <cellStyle name="Normal 2 5 2 20 2 2" xfId="4540"/>
    <cellStyle name="Normal 2 5 2 20 3" xfId="4541"/>
    <cellStyle name="Normal 2 5 2 21" xfId="4542"/>
    <cellStyle name="Normal 2 5 2 21 2" xfId="4543"/>
    <cellStyle name="Normal 2 5 2 21 2 2" xfId="4544"/>
    <cellStyle name="Normal 2 5 2 21 3" xfId="4545"/>
    <cellStyle name="Normal 2 5 2 22" xfId="4546"/>
    <cellStyle name="Normal 2 5 2 22 2" xfId="4547"/>
    <cellStyle name="Normal 2 5 2 22 2 2" xfId="4548"/>
    <cellStyle name="Normal 2 5 2 22 3" xfId="4549"/>
    <cellStyle name="Normal 2 5 2 23" xfId="4550"/>
    <cellStyle name="Normal 2 5 2 23 2" xfId="4551"/>
    <cellStyle name="Normal 2 5 2 23 2 2" xfId="4552"/>
    <cellStyle name="Normal 2 5 2 23 3" xfId="4553"/>
    <cellStyle name="Normal 2 5 2 24" xfId="4554"/>
    <cellStyle name="Normal 2 5 2 24 2" xfId="4555"/>
    <cellStyle name="Normal 2 5 2 24 2 2" xfId="4556"/>
    <cellStyle name="Normal 2 5 2 24 3" xfId="4557"/>
    <cellStyle name="Normal 2 5 2 25" xfId="4558"/>
    <cellStyle name="Normal 2 5 2 25 2" xfId="4559"/>
    <cellStyle name="Normal 2 5 2 25 2 2" xfId="4560"/>
    <cellStyle name="Normal 2 5 2 25 3" xfId="4561"/>
    <cellStyle name="Normal 2 5 2 26" xfId="4562"/>
    <cellStyle name="Normal 2 5 2 26 2" xfId="4563"/>
    <cellStyle name="Normal 2 5 2 26 2 2" xfId="4564"/>
    <cellStyle name="Normal 2 5 2 26 3" xfId="4565"/>
    <cellStyle name="Normal 2 5 2 27" xfId="4566"/>
    <cellStyle name="Normal 2 5 2 27 2" xfId="4567"/>
    <cellStyle name="Normal 2 5 2 27 2 2" xfId="4568"/>
    <cellStyle name="Normal 2 5 2 27 3" xfId="4569"/>
    <cellStyle name="Normal 2 5 2 28" xfId="4570"/>
    <cellStyle name="Normal 2 5 2 28 2" xfId="4571"/>
    <cellStyle name="Normal 2 5 2 28 2 2" xfId="4572"/>
    <cellStyle name="Normal 2 5 2 28 3" xfId="4573"/>
    <cellStyle name="Normal 2 5 2 29" xfId="4574"/>
    <cellStyle name="Normal 2 5 2 29 2" xfId="4575"/>
    <cellStyle name="Normal 2 5 2 29 2 2" xfId="4576"/>
    <cellStyle name="Normal 2 5 2 29 3" xfId="4577"/>
    <cellStyle name="Normal 2 5 2 3" xfId="4578"/>
    <cellStyle name="Normal 2 5 2 3 2" xfId="4579"/>
    <cellStyle name="Normal 2 5 2 3 2 2" xfId="4580"/>
    <cellStyle name="Normal 2 5 2 3 3" xfId="4581"/>
    <cellStyle name="Normal 2 5 2 30" xfId="4582"/>
    <cellStyle name="Normal 2 5 2 30 2" xfId="4583"/>
    <cellStyle name="Normal 2 5 2 30 2 2" xfId="4584"/>
    <cellStyle name="Normal 2 5 2 30 3" xfId="4585"/>
    <cellStyle name="Normal 2 5 2 31" xfId="4586"/>
    <cellStyle name="Normal 2 5 2 31 2" xfId="4587"/>
    <cellStyle name="Normal 2 5 2 31 2 2" xfId="4588"/>
    <cellStyle name="Normal 2 5 2 31 3" xfId="4589"/>
    <cellStyle name="Normal 2 5 2 32" xfId="4590"/>
    <cellStyle name="Normal 2 5 2 32 2" xfId="4591"/>
    <cellStyle name="Normal 2 5 2 32 2 2" xfId="4592"/>
    <cellStyle name="Normal 2 5 2 32 3" xfId="4593"/>
    <cellStyle name="Normal 2 5 2 33" xfId="4594"/>
    <cellStyle name="Normal 2 5 2 33 2" xfId="4595"/>
    <cellStyle name="Normal 2 5 2 33 2 2" xfId="4596"/>
    <cellStyle name="Normal 2 5 2 33 3" xfId="4597"/>
    <cellStyle name="Normal 2 5 2 34" xfId="4598"/>
    <cellStyle name="Normal 2 5 2 34 2" xfId="4599"/>
    <cellStyle name="Normal 2 5 2 35" xfId="4600"/>
    <cellStyle name="Normal 2 5 2 4" xfId="4601"/>
    <cellStyle name="Normal 2 5 2 4 2" xfId="4602"/>
    <cellStyle name="Normal 2 5 2 4 2 2" xfId="4603"/>
    <cellStyle name="Normal 2 5 2 4 3" xfId="4604"/>
    <cellStyle name="Normal 2 5 2 5" xfId="4605"/>
    <cellStyle name="Normal 2 5 2 5 2" xfId="4606"/>
    <cellStyle name="Normal 2 5 2 5 2 2" xfId="4607"/>
    <cellStyle name="Normal 2 5 2 5 3" xfId="4608"/>
    <cellStyle name="Normal 2 5 2 6" xfId="4609"/>
    <cellStyle name="Normal 2 5 2 6 2" xfId="4610"/>
    <cellStyle name="Normal 2 5 2 6 2 2" xfId="4611"/>
    <cellStyle name="Normal 2 5 2 6 3" xfId="4612"/>
    <cellStyle name="Normal 2 5 2 7" xfId="4613"/>
    <cellStyle name="Normal 2 5 2 7 2" xfId="4614"/>
    <cellStyle name="Normal 2 5 2 7 2 2" xfId="4615"/>
    <cellStyle name="Normal 2 5 2 7 3" xfId="4616"/>
    <cellStyle name="Normal 2 5 2 8" xfId="4617"/>
    <cellStyle name="Normal 2 5 2 8 2" xfId="4618"/>
    <cellStyle name="Normal 2 5 2 8 2 2" xfId="4619"/>
    <cellStyle name="Normal 2 5 2 8 3" xfId="4620"/>
    <cellStyle name="Normal 2 5 2 9" xfId="4621"/>
    <cellStyle name="Normal 2 5 2 9 2" xfId="4622"/>
    <cellStyle name="Normal 2 5 2 9 2 2" xfId="4623"/>
    <cellStyle name="Normal 2 5 2 9 3" xfId="4624"/>
    <cellStyle name="Normal 2 5 20" xfId="4625"/>
    <cellStyle name="Normal 2 5 20 2" xfId="4626"/>
    <cellStyle name="Normal 2 5 20 2 2" xfId="4627"/>
    <cellStyle name="Normal 2 5 20 3" xfId="4628"/>
    <cellStyle name="Normal 2 5 21" xfId="4629"/>
    <cellStyle name="Normal 2 5 21 2" xfId="4630"/>
    <cellStyle name="Normal 2 5 21 2 2" xfId="4631"/>
    <cellStyle name="Normal 2 5 21 3" xfId="4632"/>
    <cellStyle name="Normal 2 5 22" xfId="4633"/>
    <cellStyle name="Normal 2 5 22 2" xfId="4634"/>
    <cellStyle name="Normal 2 5 22 2 2" xfId="4635"/>
    <cellStyle name="Normal 2 5 22 3" xfId="4636"/>
    <cellStyle name="Normal 2 5 23" xfId="4637"/>
    <cellStyle name="Normal 2 5 23 2" xfId="4638"/>
    <cellStyle name="Normal 2 5 23 2 2" xfId="4639"/>
    <cellStyle name="Normal 2 5 23 3" xfId="4640"/>
    <cellStyle name="Normal 2 5 24" xfId="4641"/>
    <cellStyle name="Normal 2 5 24 2" xfId="4642"/>
    <cellStyle name="Normal 2 5 24 2 2" xfId="4643"/>
    <cellStyle name="Normal 2 5 24 3" xfId="4644"/>
    <cellStyle name="Normal 2 5 25" xfId="4645"/>
    <cellStyle name="Normal 2 5 25 2" xfId="4646"/>
    <cellStyle name="Normal 2 5 25 2 2" xfId="4647"/>
    <cellStyle name="Normal 2 5 25 3" xfId="4648"/>
    <cellStyle name="Normal 2 5 26" xfId="4649"/>
    <cellStyle name="Normal 2 5 26 2" xfId="4650"/>
    <cellStyle name="Normal 2 5 26 2 2" xfId="4651"/>
    <cellStyle name="Normal 2 5 26 3" xfId="4652"/>
    <cellStyle name="Normal 2 5 27" xfId="4653"/>
    <cellStyle name="Normal 2 5 27 2" xfId="4654"/>
    <cellStyle name="Normal 2 5 27 2 2" xfId="4655"/>
    <cellStyle name="Normal 2 5 27 3" xfId="4656"/>
    <cellStyle name="Normal 2 5 28" xfId="4657"/>
    <cellStyle name="Normal 2 5 28 2" xfId="4658"/>
    <cellStyle name="Normal 2 5 28 2 2" xfId="4659"/>
    <cellStyle name="Normal 2 5 28 3" xfId="4660"/>
    <cellStyle name="Normal 2 5 29" xfId="4661"/>
    <cellStyle name="Normal 2 5 29 2" xfId="4662"/>
    <cellStyle name="Normal 2 5 29 2 2" xfId="4663"/>
    <cellStyle name="Normal 2 5 29 3" xfId="4664"/>
    <cellStyle name="Normal 2 5 3" xfId="4665"/>
    <cellStyle name="Normal 2 5 3 2" xfId="4666"/>
    <cellStyle name="Normal 2 5 3 2 2" xfId="4667"/>
    <cellStyle name="Normal 2 5 3 3" xfId="4668"/>
    <cellStyle name="Normal 2 5 30" xfId="4669"/>
    <cellStyle name="Normal 2 5 30 2" xfId="4670"/>
    <cellStyle name="Normal 2 5 30 2 2" xfId="4671"/>
    <cellStyle name="Normal 2 5 30 3" xfId="4672"/>
    <cellStyle name="Normal 2 5 31" xfId="4673"/>
    <cellStyle name="Normal 2 5 31 2" xfId="4674"/>
    <cellStyle name="Normal 2 5 31 2 2" xfId="4675"/>
    <cellStyle name="Normal 2 5 31 3" xfId="4676"/>
    <cellStyle name="Normal 2 5 32" xfId="4677"/>
    <cellStyle name="Normal 2 5 32 2" xfId="4678"/>
    <cellStyle name="Normal 2 5 32 2 2" xfId="4679"/>
    <cellStyle name="Normal 2 5 32 3" xfId="4680"/>
    <cellStyle name="Normal 2 5 33" xfId="4681"/>
    <cellStyle name="Normal 2 5 33 2" xfId="4682"/>
    <cellStyle name="Normal 2 5 33 2 2" xfId="4683"/>
    <cellStyle name="Normal 2 5 33 3" xfId="4684"/>
    <cellStyle name="Normal 2 5 34" xfId="4685"/>
    <cellStyle name="Normal 2 5 34 2" xfId="4686"/>
    <cellStyle name="Normal 2 5 34 2 2" xfId="4687"/>
    <cellStyle name="Normal 2 5 34 3" xfId="4688"/>
    <cellStyle name="Normal 2 5 35" xfId="4689"/>
    <cellStyle name="Normal 2 5 35 2" xfId="4690"/>
    <cellStyle name="Normal 2 5 35 2 2" xfId="4691"/>
    <cellStyle name="Normal 2 5 35 3" xfId="4692"/>
    <cellStyle name="Normal 2 5 36" xfId="4693"/>
    <cellStyle name="Normal 2 5 36 2" xfId="4694"/>
    <cellStyle name="Normal 2 5 36 2 2" xfId="4695"/>
    <cellStyle name="Normal 2 5 36 3" xfId="4696"/>
    <cellStyle name="Normal 2 5 37" xfId="4697"/>
    <cellStyle name="Normal 2 5 37 2" xfId="4698"/>
    <cellStyle name="Normal 2 5 37 2 2" xfId="4699"/>
    <cellStyle name="Normal 2 5 37 3" xfId="4700"/>
    <cellStyle name="Normal 2 5 38" xfId="4701"/>
    <cellStyle name="Normal 2 5 38 2" xfId="4702"/>
    <cellStyle name="Normal 2 5 38 2 2" xfId="4703"/>
    <cellStyle name="Normal 2 5 38 3" xfId="4704"/>
    <cellStyle name="Normal 2 5 39" xfId="4705"/>
    <cellStyle name="Normal 2 5 39 2" xfId="4706"/>
    <cellStyle name="Normal 2 5 39 2 2" xfId="4707"/>
    <cellStyle name="Normal 2 5 39 3" xfId="4708"/>
    <cellStyle name="Normal 2 5 4" xfId="4709"/>
    <cellStyle name="Normal 2 5 4 2" xfId="4710"/>
    <cellStyle name="Normal 2 5 4 2 2" xfId="4711"/>
    <cellStyle name="Normal 2 5 4 3" xfId="4712"/>
    <cellStyle name="Normal 2 5 40" xfId="4713"/>
    <cellStyle name="Normal 2 5 40 2" xfId="4714"/>
    <cellStyle name="Normal 2 5 40 2 2" xfId="4715"/>
    <cellStyle name="Normal 2 5 40 3" xfId="4716"/>
    <cellStyle name="Normal 2 5 41" xfId="4717"/>
    <cellStyle name="Normal 2 5 41 2" xfId="4718"/>
    <cellStyle name="Normal 2 5 41 2 2" xfId="4719"/>
    <cellStyle name="Normal 2 5 41 3" xfId="4720"/>
    <cellStyle name="Normal 2 5 42" xfId="4721"/>
    <cellStyle name="Normal 2 5 42 2" xfId="4722"/>
    <cellStyle name="Normal 2 5 42 2 2" xfId="4723"/>
    <cellStyle name="Normal 2 5 42 3" xfId="4724"/>
    <cellStyle name="Normal 2 5 43" xfId="4725"/>
    <cellStyle name="Normal 2 5 43 2" xfId="4726"/>
    <cellStyle name="Normal 2 5 43 2 2" xfId="4727"/>
    <cellStyle name="Normal 2 5 43 3" xfId="4728"/>
    <cellStyle name="Normal 2 5 44" xfId="4729"/>
    <cellStyle name="Normal 2 5 44 2" xfId="4730"/>
    <cellStyle name="Normal 2 5 44 2 2" xfId="4731"/>
    <cellStyle name="Normal 2 5 44 3" xfId="4732"/>
    <cellStyle name="Normal 2 5 45" xfId="4733"/>
    <cellStyle name="Normal 2 5 45 2" xfId="4734"/>
    <cellStyle name="Normal 2 5 45 2 2" xfId="4735"/>
    <cellStyle name="Normal 2 5 45 3" xfId="4736"/>
    <cellStyle name="Normal 2 5 46" xfId="4737"/>
    <cellStyle name="Normal 2 5 46 2" xfId="4738"/>
    <cellStyle name="Normal 2 5 46 2 2" xfId="4739"/>
    <cellStyle name="Normal 2 5 46 3" xfId="4740"/>
    <cellStyle name="Normal 2 5 47" xfId="4741"/>
    <cellStyle name="Normal 2 5 47 2" xfId="4742"/>
    <cellStyle name="Normal 2 5 47 2 2" xfId="4743"/>
    <cellStyle name="Normal 2 5 47 3" xfId="4744"/>
    <cellStyle name="Normal 2 5 48" xfId="4745"/>
    <cellStyle name="Normal 2 5 48 2" xfId="4746"/>
    <cellStyle name="Normal 2 5 48 2 2" xfId="4747"/>
    <cellStyle name="Normal 2 5 48 3" xfId="4748"/>
    <cellStyle name="Normal 2 5 49" xfId="4749"/>
    <cellStyle name="Normal 2 5 49 2" xfId="4750"/>
    <cellStyle name="Normal 2 5 49 2 2" xfId="4751"/>
    <cellStyle name="Normal 2 5 49 3" xfId="4752"/>
    <cellStyle name="Normal 2 5 5" xfId="4753"/>
    <cellStyle name="Normal 2 5 5 2" xfId="4754"/>
    <cellStyle name="Normal 2 5 5 2 2" xfId="4755"/>
    <cellStyle name="Normal 2 5 5 3" xfId="4756"/>
    <cellStyle name="Normal 2 5 50" xfId="4757"/>
    <cellStyle name="Normal 2 5 50 2" xfId="4758"/>
    <cellStyle name="Normal 2 5 50 2 2" xfId="4759"/>
    <cellStyle name="Normal 2 5 50 3" xfId="4760"/>
    <cellStyle name="Normal 2 5 51" xfId="4761"/>
    <cellStyle name="Normal 2 5 51 2" xfId="4762"/>
    <cellStyle name="Normal 2 5 51 2 2" xfId="4763"/>
    <cellStyle name="Normal 2 5 51 3" xfId="4764"/>
    <cellStyle name="Normal 2 5 52" xfId="4765"/>
    <cellStyle name="Normal 2 5 52 2" xfId="4766"/>
    <cellStyle name="Normal 2 5 52 2 2" xfId="4767"/>
    <cellStyle name="Normal 2 5 52 3" xfId="4768"/>
    <cellStyle name="Normal 2 5 53" xfId="4769"/>
    <cellStyle name="Normal 2 5 53 2" xfId="4770"/>
    <cellStyle name="Normal 2 5 53 2 2" xfId="4771"/>
    <cellStyle name="Normal 2 5 53 3" xfId="4772"/>
    <cellStyle name="Normal 2 5 54" xfId="4773"/>
    <cellStyle name="Normal 2 5 54 2" xfId="4774"/>
    <cellStyle name="Normal 2 5 54 2 2" xfId="4775"/>
    <cellStyle name="Normal 2 5 54 3" xfId="4776"/>
    <cellStyle name="Normal 2 5 55" xfId="4777"/>
    <cellStyle name="Normal 2 5 55 2" xfId="4778"/>
    <cellStyle name="Normal 2 5 55 2 2" xfId="4779"/>
    <cellStyle name="Normal 2 5 55 3" xfId="4780"/>
    <cellStyle name="Normal 2 5 56" xfId="4781"/>
    <cellStyle name="Normal 2 5 56 2" xfId="4782"/>
    <cellStyle name="Normal 2 5 56 2 2" xfId="4783"/>
    <cellStyle name="Normal 2 5 56 3" xfId="4784"/>
    <cellStyle name="Normal 2 5 57" xfId="4785"/>
    <cellStyle name="Normal 2 5 57 2" xfId="4786"/>
    <cellStyle name="Normal 2 5 57 2 2" xfId="4787"/>
    <cellStyle name="Normal 2 5 57 3" xfId="4788"/>
    <cellStyle name="Normal 2 5 58" xfId="4789"/>
    <cellStyle name="Normal 2 5 58 2" xfId="4790"/>
    <cellStyle name="Normal 2 5 58 2 2" xfId="4791"/>
    <cellStyle name="Normal 2 5 58 3" xfId="4792"/>
    <cellStyle name="Normal 2 5 59" xfId="4793"/>
    <cellStyle name="Normal 2 5 59 2" xfId="4794"/>
    <cellStyle name="Normal 2 5 59 2 2" xfId="4795"/>
    <cellStyle name="Normal 2 5 59 3" xfId="4796"/>
    <cellStyle name="Normal 2 5 6" xfId="4797"/>
    <cellStyle name="Normal 2 5 6 2" xfId="4798"/>
    <cellStyle name="Normal 2 5 6 2 2" xfId="4799"/>
    <cellStyle name="Normal 2 5 6 3" xfId="4800"/>
    <cellStyle name="Normal 2 5 60" xfId="4801"/>
    <cellStyle name="Normal 2 5 60 2" xfId="4802"/>
    <cellStyle name="Normal 2 5 60 2 2" xfId="4803"/>
    <cellStyle name="Normal 2 5 60 3" xfId="4804"/>
    <cellStyle name="Normal 2 5 61" xfId="4805"/>
    <cellStyle name="Normal 2 5 61 2" xfId="4806"/>
    <cellStyle name="Normal 2 5 61 2 2" xfId="4807"/>
    <cellStyle name="Normal 2 5 61 3" xfId="4808"/>
    <cellStyle name="Normal 2 5 62" xfId="4809"/>
    <cellStyle name="Normal 2 5 62 2" xfId="4810"/>
    <cellStyle name="Normal 2 5 62 2 2" xfId="4811"/>
    <cellStyle name="Normal 2 5 62 3" xfId="4812"/>
    <cellStyle name="Normal 2 5 63" xfId="4813"/>
    <cellStyle name="Normal 2 5 63 2" xfId="4814"/>
    <cellStyle name="Normal 2 5 63 2 2" xfId="4815"/>
    <cellStyle name="Normal 2 5 63 3" xfId="4816"/>
    <cellStyle name="Normal 2 5 64" xfId="4817"/>
    <cellStyle name="Normal 2 5 64 2" xfId="4818"/>
    <cellStyle name="Normal 2 5 64 2 2" xfId="4819"/>
    <cellStyle name="Normal 2 5 64 3" xfId="4820"/>
    <cellStyle name="Normal 2 5 65" xfId="4821"/>
    <cellStyle name="Normal 2 5 65 2" xfId="4822"/>
    <cellStyle name="Normal 2 5 65 2 2" xfId="4823"/>
    <cellStyle name="Normal 2 5 65 3" xfId="4824"/>
    <cellStyle name="Normal 2 5 66" xfId="4825"/>
    <cellStyle name="Normal 2 5 66 2" xfId="4826"/>
    <cellStyle name="Normal 2 5 66 2 2" xfId="4827"/>
    <cellStyle name="Normal 2 5 66 3" xfId="4828"/>
    <cellStyle name="Normal 2 5 67" xfId="4829"/>
    <cellStyle name="Normal 2 5 67 2" xfId="4830"/>
    <cellStyle name="Normal 2 5 67 2 2" xfId="4831"/>
    <cellStyle name="Normal 2 5 67 3" xfId="4832"/>
    <cellStyle name="Normal 2 5 68" xfId="4833"/>
    <cellStyle name="Normal 2 5 68 2" xfId="4834"/>
    <cellStyle name="Normal 2 5 68 2 2" xfId="4835"/>
    <cellStyle name="Normal 2 5 68 3" xfId="4836"/>
    <cellStyle name="Normal 2 5 69" xfId="4837"/>
    <cellStyle name="Normal 2 5 69 2" xfId="4838"/>
    <cellStyle name="Normal 2 5 69 2 2" xfId="4839"/>
    <cellStyle name="Normal 2 5 69 3" xfId="4840"/>
    <cellStyle name="Normal 2 5 7" xfId="4841"/>
    <cellStyle name="Normal 2 5 7 2" xfId="4842"/>
    <cellStyle name="Normal 2 5 7 2 2" xfId="4843"/>
    <cellStyle name="Normal 2 5 7 3" xfId="4844"/>
    <cellStyle name="Normal 2 5 70" xfId="4845"/>
    <cellStyle name="Normal 2 5 70 2" xfId="4846"/>
    <cellStyle name="Normal 2 5 70 2 2" xfId="4847"/>
    <cellStyle name="Normal 2 5 70 3" xfId="4848"/>
    <cellStyle name="Normal 2 5 71" xfId="4849"/>
    <cellStyle name="Normal 2 5 71 2" xfId="4850"/>
    <cellStyle name="Normal 2 5 71 2 2" xfId="4851"/>
    <cellStyle name="Normal 2 5 71 3" xfId="4852"/>
    <cellStyle name="Normal 2 5 72" xfId="4853"/>
    <cellStyle name="Normal 2 5 72 2" xfId="4854"/>
    <cellStyle name="Normal 2 5 72 2 2" xfId="4855"/>
    <cellStyle name="Normal 2 5 72 3" xfId="4856"/>
    <cellStyle name="Normal 2 5 73" xfId="4857"/>
    <cellStyle name="Normal 2 5 73 2" xfId="4858"/>
    <cellStyle name="Normal 2 5 73 2 2" xfId="4859"/>
    <cellStyle name="Normal 2 5 73 3" xfId="4860"/>
    <cellStyle name="Normal 2 5 74" xfId="4861"/>
    <cellStyle name="Normal 2 5 74 2" xfId="4862"/>
    <cellStyle name="Normal 2 5 74 2 2" xfId="4863"/>
    <cellStyle name="Normal 2 5 74 3" xfId="4864"/>
    <cellStyle name="Normal 2 5 75" xfId="4865"/>
    <cellStyle name="Normal 2 5 75 2" xfId="4866"/>
    <cellStyle name="Normal 2 5 75 2 2" xfId="4867"/>
    <cellStyle name="Normal 2 5 75 3" xfId="4868"/>
    <cellStyle name="Normal 2 5 76" xfId="4869"/>
    <cellStyle name="Normal 2 5 76 2" xfId="4870"/>
    <cellStyle name="Normal 2 5 76 2 2" xfId="4871"/>
    <cellStyle name="Normal 2 5 76 3" xfId="4872"/>
    <cellStyle name="Normal 2 5 77" xfId="4873"/>
    <cellStyle name="Normal 2 5 77 2" xfId="4874"/>
    <cellStyle name="Normal 2 5 77 2 2" xfId="4875"/>
    <cellStyle name="Normal 2 5 77 3" xfId="4876"/>
    <cellStyle name="Normal 2 5 78" xfId="4877"/>
    <cellStyle name="Normal 2 5 78 2" xfId="4878"/>
    <cellStyle name="Normal 2 5 78 2 2" xfId="4879"/>
    <cellStyle name="Normal 2 5 78 3" xfId="4880"/>
    <cellStyle name="Normal 2 5 79" xfId="4881"/>
    <cellStyle name="Normal 2 5 79 2" xfId="4882"/>
    <cellStyle name="Normal 2 5 79 2 2" xfId="4883"/>
    <cellStyle name="Normal 2 5 79 3" xfId="4884"/>
    <cellStyle name="Normal 2 5 8" xfId="4885"/>
    <cellStyle name="Normal 2 5 8 2" xfId="4886"/>
    <cellStyle name="Normal 2 5 8 2 2" xfId="4887"/>
    <cellStyle name="Normal 2 5 8 3" xfId="4888"/>
    <cellStyle name="Normal 2 5 80" xfId="4889"/>
    <cellStyle name="Normal 2 5 80 2" xfId="4890"/>
    <cellStyle name="Normal 2 5 80 2 2" xfId="4891"/>
    <cellStyle name="Normal 2 5 80 3" xfId="4892"/>
    <cellStyle name="Normal 2 5 81" xfId="4893"/>
    <cellStyle name="Normal 2 5 81 2" xfId="4894"/>
    <cellStyle name="Normal 2 5 81 2 2" xfId="4895"/>
    <cellStyle name="Normal 2 5 81 3" xfId="4896"/>
    <cellStyle name="Normal 2 5 82" xfId="4897"/>
    <cellStyle name="Normal 2 5 82 2" xfId="4898"/>
    <cellStyle name="Normal 2 5 82 2 2" xfId="4899"/>
    <cellStyle name="Normal 2 5 82 3" xfId="4900"/>
    <cellStyle name="Normal 2 5 83" xfId="4901"/>
    <cellStyle name="Normal 2 5 83 2" xfId="4902"/>
    <cellStyle name="Normal 2 5 83 2 2" xfId="4903"/>
    <cellStyle name="Normal 2 5 83 3" xfId="4904"/>
    <cellStyle name="Normal 2 5 84" xfId="4905"/>
    <cellStyle name="Normal 2 5 84 2" xfId="4906"/>
    <cellStyle name="Normal 2 5 84 2 2" xfId="4907"/>
    <cellStyle name="Normal 2 5 84 3" xfId="4908"/>
    <cellStyle name="Normal 2 5 85" xfId="4909"/>
    <cellStyle name="Normal 2 5 85 2" xfId="4910"/>
    <cellStyle name="Normal 2 5 85 2 2" xfId="4911"/>
    <cellStyle name="Normal 2 5 85 3" xfId="4912"/>
    <cellStyle name="Normal 2 5 86" xfId="4913"/>
    <cellStyle name="Normal 2 5 86 2" xfId="4914"/>
    <cellStyle name="Normal 2 5 86 2 2" xfId="4915"/>
    <cellStyle name="Normal 2 5 86 3" xfId="4916"/>
    <cellStyle name="Normal 2 5 87" xfId="4917"/>
    <cellStyle name="Normal 2 5 87 2" xfId="4918"/>
    <cellStyle name="Normal 2 5 87 2 2" xfId="4919"/>
    <cellStyle name="Normal 2 5 87 3" xfId="4920"/>
    <cellStyle name="Normal 2 5 88" xfId="4921"/>
    <cellStyle name="Normal 2 5 89" xfId="4922"/>
    <cellStyle name="Normal 2 5 89 2" xfId="4923"/>
    <cellStyle name="Normal 2 5 9" xfId="4924"/>
    <cellStyle name="Normal 2 5 9 2" xfId="4925"/>
    <cellStyle name="Normal 2 5 9 2 2" xfId="4926"/>
    <cellStyle name="Normal 2 5 9 3" xfId="4927"/>
    <cellStyle name="Normal 2 5 90" xfId="4928"/>
    <cellStyle name="Normal 2 5_DEER 032008 Cost Summary Delivery - Rev 4 (2)" xfId="4929"/>
    <cellStyle name="Normal 2 50" xfId="4930"/>
    <cellStyle name="Normal 2 50 2" xfId="4931"/>
    <cellStyle name="Normal 2 50 2 2" xfId="4932"/>
    <cellStyle name="Normal 2 50 3" xfId="4933"/>
    <cellStyle name="Normal 2 51" xfId="4934"/>
    <cellStyle name="Normal 2 51 2" xfId="4935"/>
    <cellStyle name="Normal 2 51 2 2" xfId="4936"/>
    <cellStyle name="Normal 2 51 3" xfId="4937"/>
    <cellStyle name="Normal 2 52" xfId="4938"/>
    <cellStyle name="Normal 2 52 2" xfId="4939"/>
    <cellStyle name="Normal 2 52 2 2" xfId="4940"/>
    <cellStyle name="Normal 2 52 3" xfId="4941"/>
    <cellStyle name="Normal 2 53" xfId="4942"/>
    <cellStyle name="Normal 2 53 2" xfId="4943"/>
    <cellStyle name="Normal 2 53 2 2" xfId="4944"/>
    <cellStyle name="Normal 2 53 3" xfId="4945"/>
    <cellStyle name="Normal 2 54" xfId="4946"/>
    <cellStyle name="Normal 2 54 2" xfId="4947"/>
    <cellStyle name="Normal 2 54 2 2" xfId="4948"/>
    <cellStyle name="Normal 2 54 3" xfId="4949"/>
    <cellStyle name="Normal 2 55" xfId="4950"/>
    <cellStyle name="Normal 2 55 2" xfId="4951"/>
    <cellStyle name="Normal 2 55 2 2" xfId="4952"/>
    <cellStyle name="Normal 2 55 3" xfId="4953"/>
    <cellStyle name="Normal 2 56" xfId="4954"/>
    <cellStyle name="Normal 2 56 2" xfId="4955"/>
    <cellStyle name="Normal 2 56 2 2" xfId="4956"/>
    <cellStyle name="Normal 2 56 3" xfId="4957"/>
    <cellStyle name="Normal 2 57" xfId="4958"/>
    <cellStyle name="Normal 2 57 2" xfId="4959"/>
    <cellStyle name="Normal 2 57 2 2" xfId="4960"/>
    <cellStyle name="Normal 2 57 3" xfId="4961"/>
    <cellStyle name="Normal 2 58" xfId="4962"/>
    <cellStyle name="Normal 2 58 2" xfId="4963"/>
    <cellStyle name="Normal 2 58 2 2" xfId="4964"/>
    <cellStyle name="Normal 2 58 3" xfId="4965"/>
    <cellStyle name="Normal 2 59" xfId="4966"/>
    <cellStyle name="Normal 2 59 2" xfId="4967"/>
    <cellStyle name="Normal 2 59 2 2" xfId="4968"/>
    <cellStyle name="Normal 2 59 3" xfId="4969"/>
    <cellStyle name="Normal 2 6" xfId="129"/>
    <cellStyle name="Normal 2 6 2" xfId="168"/>
    <cellStyle name="Normal 2 6 2 2" xfId="1004"/>
    <cellStyle name="Normal 2 6 2 2 2" xfId="1005"/>
    <cellStyle name="Normal 2 6 2 2 3" xfId="1006"/>
    <cellStyle name="Normal 2 6 2 3" xfId="1007"/>
    <cellStyle name="Normal 2 6 2 3 2" xfId="1008"/>
    <cellStyle name="Normal 2 6 2 4" xfId="1009"/>
    <cellStyle name="Normal 2 6 2 5" xfId="1010"/>
    <cellStyle name="Normal 2 6 3" xfId="1011"/>
    <cellStyle name="Normal 2 6 3 2" xfId="1012"/>
    <cellStyle name="Normal 2 6 3 2 2" xfId="1013"/>
    <cellStyle name="Normal 2 6 3 3" xfId="1014"/>
    <cellStyle name="Normal 2 6 3 3 2" xfId="1015"/>
    <cellStyle name="Normal 2 6 3 4" xfId="1016"/>
    <cellStyle name="Normal 2 6 4" xfId="1017"/>
    <cellStyle name="Normal 2 6 4 2" xfId="1018"/>
    <cellStyle name="Normal 2 6 5" xfId="1019"/>
    <cellStyle name="Normal 2 6 6" xfId="1020"/>
    <cellStyle name="Normal 2 60" xfId="4970"/>
    <cellStyle name="Normal 2 60 2" xfId="4971"/>
    <cellStyle name="Normal 2 60 2 2" xfId="4972"/>
    <cellStyle name="Normal 2 60 3" xfId="4973"/>
    <cellStyle name="Normal 2 61" xfId="4974"/>
    <cellStyle name="Normal 2 61 2" xfId="4975"/>
    <cellStyle name="Normal 2 61 2 2" xfId="4976"/>
    <cellStyle name="Normal 2 61 3" xfId="4977"/>
    <cellStyle name="Normal 2 62" xfId="4978"/>
    <cellStyle name="Normal 2 62 2" xfId="4979"/>
    <cellStyle name="Normal 2 62 2 2" xfId="4980"/>
    <cellStyle name="Normal 2 62 3" xfId="4981"/>
    <cellStyle name="Normal 2 63" xfId="4982"/>
    <cellStyle name="Normal 2 63 2" xfId="4983"/>
    <cellStyle name="Normal 2 63 2 2" xfId="4984"/>
    <cellStyle name="Normal 2 63 3" xfId="4985"/>
    <cellStyle name="Normal 2 64" xfId="4986"/>
    <cellStyle name="Normal 2 64 2" xfId="4987"/>
    <cellStyle name="Normal 2 64 2 2" xfId="4988"/>
    <cellStyle name="Normal 2 64 3" xfId="4989"/>
    <cellStyle name="Normal 2 65" xfId="4990"/>
    <cellStyle name="Normal 2 65 2" xfId="4991"/>
    <cellStyle name="Normal 2 65 2 2" xfId="4992"/>
    <cellStyle name="Normal 2 65 3" xfId="4993"/>
    <cellStyle name="Normal 2 66" xfId="4994"/>
    <cellStyle name="Normal 2 66 2" xfId="4995"/>
    <cellStyle name="Normal 2 66 2 2" xfId="4996"/>
    <cellStyle name="Normal 2 66 3" xfId="4997"/>
    <cellStyle name="Normal 2 67" xfId="4998"/>
    <cellStyle name="Normal 2 67 2" xfId="4999"/>
    <cellStyle name="Normal 2 67 2 2" xfId="5000"/>
    <cellStyle name="Normal 2 67 3" xfId="5001"/>
    <cellStyle name="Normal 2 68" xfId="5002"/>
    <cellStyle name="Normal 2 68 2" xfId="5003"/>
    <cellStyle name="Normal 2 68 2 2" xfId="5004"/>
    <cellStyle name="Normal 2 68 3" xfId="5005"/>
    <cellStyle name="Normal 2 69" xfId="5006"/>
    <cellStyle name="Normal 2 69 2" xfId="5007"/>
    <cellStyle name="Normal 2 69 2 2" xfId="5008"/>
    <cellStyle name="Normal 2 69 3" xfId="5009"/>
    <cellStyle name="Normal 2 7" xfId="61"/>
    <cellStyle name="Normal 2 7 2" xfId="1021"/>
    <cellStyle name="Normal 2 7 2 2" xfId="1022"/>
    <cellStyle name="Normal 2 7 2 2 2" xfId="1023"/>
    <cellStyle name="Normal 2 7 2 3" xfId="1024"/>
    <cellStyle name="Normal 2 7 2 3 2" xfId="1025"/>
    <cellStyle name="Normal 2 7 2 4" xfId="1026"/>
    <cellStyle name="Normal 2 7 3" xfId="1027"/>
    <cellStyle name="Normal 2 7 4" xfId="5010"/>
    <cellStyle name="Normal 2 7 5" xfId="5011"/>
    <cellStyle name="Normal 2 70" xfId="5012"/>
    <cellStyle name="Normal 2 70 2" xfId="5013"/>
    <cellStyle name="Normal 2 70 2 2" xfId="5014"/>
    <cellStyle name="Normal 2 70 3" xfId="5015"/>
    <cellStyle name="Normal 2 71" xfId="5016"/>
    <cellStyle name="Normal 2 71 2" xfId="5017"/>
    <cellStyle name="Normal 2 71 2 2" xfId="5018"/>
    <cellStyle name="Normal 2 71 3" xfId="5019"/>
    <cellStyle name="Normal 2 72" xfId="5020"/>
    <cellStyle name="Normal 2 72 2" xfId="5021"/>
    <cellStyle name="Normal 2 72 2 2" xfId="5022"/>
    <cellStyle name="Normal 2 72 3" xfId="5023"/>
    <cellStyle name="Normal 2 73" xfId="5024"/>
    <cellStyle name="Normal 2 73 2" xfId="5025"/>
    <cellStyle name="Normal 2 73 2 2" xfId="5026"/>
    <cellStyle name="Normal 2 73 3" xfId="5027"/>
    <cellStyle name="Normal 2 74" xfId="5028"/>
    <cellStyle name="Normal 2 74 2" xfId="5029"/>
    <cellStyle name="Normal 2 74 2 2" xfId="5030"/>
    <cellStyle name="Normal 2 74 3" xfId="5031"/>
    <cellStyle name="Normal 2 75" xfId="5032"/>
    <cellStyle name="Normal 2 75 2" xfId="5033"/>
    <cellStyle name="Normal 2 75 2 2" xfId="5034"/>
    <cellStyle name="Normal 2 75 3" xfId="5035"/>
    <cellStyle name="Normal 2 76" xfId="5036"/>
    <cellStyle name="Normal 2 76 2" xfId="5037"/>
    <cellStyle name="Normal 2 76 2 2" xfId="5038"/>
    <cellStyle name="Normal 2 76 3" xfId="5039"/>
    <cellStyle name="Normal 2 77" xfId="5040"/>
    <cellStyle name="Normal 2 77 2" xfId="5041"/>
    <cellStyle name="Normal 2 77 2 2" xfId="5042"/>
    <cellStyle name="Normal 2 77 3" xfId="5043"/>
    <cellStyle name="Normal 2 78" xfId="5044"/>
    <cellStyle name="Normal 2 78 2" xfId="5045"/>
    <cellStyle name="Normal 2 78 2 2" xfId="5046"/>
    <cellStyle name="Normal 2 78 3" xfId="5047"/>
    <cellStyle name="Normal 2 79" xfId="5048"/>
    <cellStyle name="Normal 2 79 2" xfId="5049"/>
    <cellStyle name="Normal 2 79 2 2" xfId="5050"/>
    <cellStyle name="Normal 2 79 3" xfId="5051"/>
    <cellStyle name="Normal 2 8" xfId="1028"/>
    <cellStyle name="Normal 2 8 10" xfId="5052"/>
    <cellStyle name="Normal 2 8 10 2" xfId="5053"/>
    <cellStyle name="Normal 2 8 10 2 2" xfId="5054"/>
    <cellStyle name="Normal 2 8 10 3" xfId="5055"/>
    <cellStyle name="Normal 2 8 11" xfId="5056"/>
    <cellStyle name="Normal 2 8 11 2" xfId="5057"/>
    <cellStyle name="Normal 2 8 11 2 2" xfId="5058"/>
    <cellStyle name="Normal 2 8 11 3" xfId="5059"/>
    <cellStyle name="Normal 2 8 12" xfId="5060"/>
    <cellStyle name="Normal 2 8 12 2" xfId="5061"/>
    <cellStyle name="Normal 2 8 12 2 2" xfId="5062"/>
    <cellStyle name="Normal 2 8 12 3" xfId="5063"/>
    <cellStyle name="Normal 2 8 13" xfId="5064"/>
    <cellStyle name="Normal 2 8 13 2" xfId="5065"/>
    <cellStyle name="Normal 2 8 13 2 2" xfId="5066"/>
    <cellStyle name="Normal 2 8 13 3" xfId="5067"/>
    <cellStyle name="Normal 2 8 14" xfId="5068"/>
    <cellStyle name="Normal 2 8 14 2" xfId="5069"/>
    <cellStyle name="Normal 2 8 14 2 2" xfId="5070"/>
    <cellStyle name="Normal 2 8 14 3" xfId="5071"/>
    <cellStyle name="Normal 2 8 15" xfId="5072"/>
    <cellStyle name="Normal 2 8 15 2" xfId="5073"/>
    <cellStyle name="Normal 2 8 15 2 2" xfId="5074"/>
    <cellStyle name="Normal 2 8 15 3" xfId="5075"/>
    <cellStyle name="Normal 2 8 16" xfId="5076"/>
    <cellStyle name="Normal 2 8 16 2" xfId="5077"/>
    <cellStyle name="Normal 2 8 16 2 2" xfId="5078"/>
    <cellStyle name="Normal 2 8 16 3" xfId="5079"/>
    <cellStyle name="Normal 2 8 17" xfId="5080"/>
    <cellStyle name="Normal 2 8 17 2" xfId="5081"/>
    <cellStyle name="Normal 2 8 17 2 2" xfId="5082"/>
    <cellStyle name="Normal 2 8 17 3" xfId="5083"/>
    <cellStyle name="Normal 2 8 18" xfId="5084"/>
    <cellStyle name="Normal 2 8 18 2" xfId="5085"/>
    <cellStyle name="Normal 2 8 18 2 2" xfId="5086"/>
    <cellStyle name="Normal 2 8 18 3" xfId="5087"/>
    <cellStyle name="Normal 2 8 19" xfId="5088"/>
    <cellStyle name="Normal 2 8 19 2" xfId="5089"/>
    <cellStyle name="Normal 2 8 19 2 2" xfId="5090"/>
    <cellStyle name="Normal 2 8 19 3" xfId="5091"/>
    <cellStyle name="Normal 2 8 2" xfId="1029"/>
    <cellStyle name="Normal 2 8 2 2" xfId="1030"/>
    <cellStyle name="Normal 2 8 2 2 2" xfId="1031"/>
    <cellStyle name="Normal 2 8 2 3" xfId="1032"/>
    <cellStyle name="Normal 2 8 2 3 2" xfId="1033"/>
    <cellStyle name="Normal 2 8 2 4" xfId="1034"/>
    <cellStyle name="Normal 2 8 20" xfId="5092"/>
    <cellStyle name="Normal 2 8 20 2" xfId="5093"/>
    <cellStyle name="Normal 2 8 20 2 2" xfId="5094"/>
    <cellStyle name="Normal 2 8 20 3" xfId="5095"/>
    <cellStyle name="Normal 2 8 21" xfId="5096"/>
    <cellStyle name="Normal 2 8 21 2" xfId="5097"/>
    <cellStyle name="Normal 2 8 21 2 2" xfId="5098"/>
    <cellStyle name="Normal 2 8 21 3" xfId="5099"/>
    <cellStyle name="Normal 2 8 22" xfId="5100"/>
    <cellStyle name="Normal 2 8 22 2" xfId="5101"/>
    <cellStyle name="Normal 2 8 22 2 2" xfId="5102"/>
    <cellStyle name="Normal 2 8 22 3" xfId="5103"/>
    <cellStyle name="Normal 2 8 23" xfId="5104"/>
    <cellStyle name="Normal 2 8 23 2" xfId="5105"/>
    <cellStyle name="Normal 2 8 23 2 2" xfId="5106"/>
    <cellStyle name="Normal 2 8 23 3" xfId="5107"/>
    <cellStyle name="Normal 2 8 24" xfId="5108"/>
    <cellStyle name="Normal 2 8 24 2" xfId="5109"/>
    <cellStyle name="Normal 2 8 25" xfId="5110"/>
    <cellStyle name="Normal 2 8 3" xfId="1035"/>
    <cellStyle name="Normal 2 8 3 2" xfId="1036"/>
    <cellStyle name="Normal 2 8 3 2 2" xfId="5111"/>
    <cellStyle name="Normal 2 8 3 3" xfId="5112"/>
    <cellStyle name="Normal 2 8 4" xfId="1037"/>
    <cellStyle name="Normal 2 8 4 2" xfId="1038"/>
    <cellStyle name="Normal 2 8 4 2 2" xfId="5113"/>
    <cellStyle name="Normal 2 8 4 3" xfId="5114"/>
    <cellStyle name="Normal 2 8 5" xfId="1039"/>
    <cellStyle name="Normal 2 8 5 2" xfId="5115"/>
    <cellStyle name="Normal 2 8 5 2 2" xfId="5116"/>
    <cellStyle name="Normal 2 8 5 3" xfId="5117"/>
    <cellStyle name="Normal 2 8 6" xfId="1040"/>
    <cellStyle name="Normal 2 8 6 2" xfId="5118"/>
    <cellStyle name="Normal 2 8 6 2 2" xfId="5119"/>
    <cellStyle name="Normal 2 8 6 3" xfId="5120"/>
    <cellStyle name="Normal 2 8 7" xfId="5121"/>
    <cellStyle name="Normal 2 8 7 2" xfId="5122"/>
    <cellStyle name="Normal 2 8 7 2 2" xfId="5123"/>
    <cellStyle name="Normal 2 8 7 3" xfId="5124"/>
    <cellStyle name="Normal 2 8 8" xfId="5125"/>
    <cellStyle name="Normal 2 8 8 2" xfId="5126"/>
    <cellStyle name="Normal 2 8 8 2 2" xfId="5127"/>
    <cellStyle name="Normal 2 8 8 3" xfId="5128"/>
    <cellStyle name="Normal 2 8 9" xfId="5129"/>
    <cellStyle name="Normal 2 8 9 2" xfId="5130"/>
    <cellStyle name="Normal 2 8 9 2 2" xfId="5131"/>
    <cellStyle name="Normal 2 8 9 3" xfId="5132"/>
    <cellStyle name="Normal 2 80" xfId="5133"/>
    <cellStyle name="Normal 2 80 2" xfId="5134"/>
    <cellStyle name="Normal 2 80 2 2" xfId="5135"/>
    <cellStyle name="Normal 2 80 3" xfId="5136"/>
    <cellStyle name="Normal 2 81" xfId="5137"/>
    <cellStyle name="Normal 2 81 2" xfId="5138"/>
    <cellStyle name="Normal 2 81 2 2" xfId="5139"/>
    <cellStyle name="Normal 2 81 3" xfId="5140"/>
    <cellStyle name="Normal 2 82" xfId="5141"/>
    <cellStyle name="Normal 2 82 2" xfId="5142"/>
    <cellStyle name="Normal 2 82 2 2" xfId="5143"/>
    <cellStyle name="Normal 2 82 3" xfId="5144"/>
    <cellStyle name="Normal 2 83" xfId="5145"/>
    <cellStyle name="Normal 2 83 2" xfId="5146"/>
    <cellStyle name="Normal 2 83 2 2" xfId="5147"/>
    <cellStyle name="Normal 2 83 3" xfId="5148"/>
    <cellStyle name="Normal 2 84" xfId="5149"/>
    <cellStyle name="Normal 2 84 2" xfId="5150"/>
    <cellStyle name="Normal 2 84 2 2" xfId="5151"/>
    <cellStyle name="Normal 2 84 3" xfId="5152"/>
    <cellStyle name="Normal 2 85" xfId="5153"/>
    <cellStyle name="Normal 2 85 2" xfId="5154"/>
    <cellStyle name="Normal 2 85 2 2" xfId="5155"/>
    <cellStyle name="Normal 2 85 3" xfId="5156"/>
    <cellStyle name="Normal 2 86" xfId="5157"/>
    <cellStyle name="Normal 2 86 2" xfId="5158"/>
    <cellStyle name="Normal 2 86 2 2" xfId="5159"/>
    <cellStyle name="Normal 2 86 3" xfId="5160"/>
    <cellStyle name="Normal 2 87" xfId="5161"/>
    <cellStyle name="Normal 2 87 2" xfId="5162"/>
    <cellStyle name="Normal 2 87 2 2" xfId="5163"/>
    <cellStyle name="Normal 2 87 3" xfId="5164"/>
    <cellStyle name="Normal 2 88" xfId="5165"/>
    <cellStyle name="Normal 2 88 2" xfId="5166"/>
    <cellStyle name="Normal 2 88 2 2" xfId="5167"/>
    <cellStyle name="Normal 2 88 3" xfId="5168"/>
    <cellStyle name="Normal 2 89" xfId="5169"/>
    <cellStyle name="Normal 2 89 2" xfId="5170"/>
    <cellStyle name="Normal 2 89 2 2" xfId="5171"/>
    <cellStyle name="Normal 2 89 3" xfId="5172"/>
    <cellStyle name="Normal 2 9" xfId="1041"/>
    <cellStyle name="Normal 2 9 10" xfId="5173"/>
    <cellStyle name="Normal 2 9 10 2" xfId="5174"/>
    <cellStyle name="Normal 2 9 10 2 2" xfId="5175"/>
    <cellStyle name="Normal 2 9 10 3" xfId="5176"/>
    <cellStyle name="Normal 2 9 11" xfId="5177"/>
    <cellStyle name="Normal 2 9 11 2" xfId="5178"/>
    <cellStyle name="Normal 2 9 11 2 2" xfId="5179"/>
    <cellStyle name="Normal 2 9 11 3" xfId="5180"/>
    <cellStyle name="Normal 2 9 12" xfId="5181"/>
    <cellStyle name="Normal 2 9 12 2" xfId="5182"/>
    <cellStyle name="Normal 2 9 12 2 2" xfId="5183"/>
    <cellStyle name="Normal 2 9 12 3" xfId="5184"/>
    <cellStyle name="Normal 2 9 13" xfId="5185"/>
    <cellStyle name="Normal 2 9 13 2" xfId="5186"/>
    <cellStyle name="Normal 2 9 13 2 2" xfId="5187"/>
    <cellStyle name="Normal 2 9 13 3" xfId="5188"/>
    <cellStyle name="Normal 2 9 14" xfId="5189"/>
    <cellStyle name="Normal 2 9 14 2" xfId="5190"/>
    <cellStyle name="Normal 2 9 14 2 2" xfId="5191"/>
    <cellStyle name="Normal 2 9 14 3" xfId="5192"/>
    <cellStyle name="Normal 2 9 15" xfId="5193"/>
    <cellStyle name="Normal 2 9 15 2" xfId="5194"/>
    <cellStyle name="Normal 2 9 15 2 2" xfId="5195"/>
    <cellStyle name="Normal 2 9 15 3" xfId="5196"/>
    <cellStyle name="Normal 2 9 16" xfId="5197"/>
    <cellStyle name="Normal 2 9 16 2" xfId="5198"/>
    <cellStyle name="Normal 2 9 16 2 2" xfId="5199"/>
    <cellStyle name="Normal 2 9 16 3" xfId="5200"/>
    <cellStyle name="Normal 2 9 17" xfId="5201"/>
    <cellStyle name="Normal 2 9 17 2" xfId="5202"/>
    <cellStyle name="Normal 2 9 17 2 2" xfId="5203"/>
    <cellStyle name="Normal 2 9 17 3" xfId="5204"/>
    <cellStyle name="Normal 2 9 18" xfId="5205"/>
    <cellStyle name="Normal 2 9 18 2" xfId="5206"/>
    <cellStyle name="Normal 2 9 18 2 2" xfId="5207"/>
    <cellStyle name="Normal 2 9 18 3" xfId="5208"/>
    <cellStyle name="Normal 2 9 19" xfId="5209"/>
    <cellStyle name="Normal 2 9 19 2" xfId="5210"/>
    <cellStyle name="Normal 2 9 19 2 2" xfId="5211"/>
    <cellStyle name="Normal 2 9 19 3" xfId="5212"/>
    <cellStyle name="Normal 2 9 2" xfId="1042"/>
    <cellStyle name="Normal 2 9 2 2" xfId="1043"/>
    <cellStyle name="Normal 2 9 2 2 2" xfId="1044"/>
    <cellStyle name="Normal 2 9 2 3" xfId="1045"/>
    <cellStyle name="Normal 2 9 2 3 2" xfId="1046"/>
    <cellStyle name="Normal 2 9 2 4" xfId="1047"/>
    <cellStyle name="Normal 2 9 20" xfId="5213"/>
    <cellStyle name="Normal 2 9 20 2" xfId="5214"/>
    <cellStyle name="Normal 2 9 20 2 2" xfId="5215"/>
    <cellStyle name="Normal 2 9 20 3" xfId="5216"/>
    <cellStyle name="Normal 2 9 21" xfId="5217"/>
    <cellStyle name="Normal 2 9 21 2" xfId="5218"/>
    <cellStyle name="Normal 2 9 21 2 2" xfId="5219"/>
    <cellStyle name="Normal 2 9 21 3" xfId="5220"/>
    <cellStyle name="Normal 2 9 22" xfId="5221"/>
    <cellStyle name="Normal 2 9 22 2" xfId="5222"/>
    <cellStyle name="Normal 2 9 22 2 2" xfId="5223"/>
    <cellStyle name="Normal 2 9 22 3" xfId="5224"/>
    <cellStyle name="Normal 2 9 23" xfId="5225"/>
    <cellStyle name="Normal 2 9 23 2" xfId="5226"/>
    <cellStyle name="Normal 2 9 23 2 2" xfId="5227"/>
    <cellStyle name="Normal 2 9 23 3" xfId="5228"/>
    <cellStyle name="Normal 2 9 24" xfId="5229"/>
    <cellStyle name="Normal 2 9 24 2" xfId="5230"/>
    <cellStyle name="Normal 2 9 25" xfId="5231"/>
    <cellStyle name="Normal 2 9 3" xfId="1048"/>
    <cellStyle name="Normal 2 9 3 2" xfId="1049"/>
    <cellStyle name="Normal 2 9 3 2 2" xfId="5232"/>
    <cellStyle name="Normal 2 9 3 3" xfId="5233"/>
    <cellStyle name="Normal 2 9 4" xfId="1050"/>
    <cellStyle name="Normal 2 9 4 2" xfId="1051"/>
    <cellStyle name="Normal 2 9 4 2 2" xfId="5234"/>
    <cellStyle name="Normal 2 9 4 3" xfId="5235"/>
    <cellStyle name="Normal 2 9 5" xfId="1052"/>
    <cellStyle name="Normal 2 9 5 2" xfId="5236"/>
    <cellStyle name="Normal 2 9 5 2 2" xfId="5237"/>
    <cellStyle name="Normal 2 9 5 3" xfId="5238"/>
    <cellStyle name="Normal 2 9 6" xfId="5239"/>
    <cellStyle name="Normal 2 9 6 2" xfId="5240"/>
    <cellStyle name="Normal 2 9 6 2 2" xfId="5241"/>
    <cellStyle name="Normal 2 9 6 3" xfId="5242"/>
    <cellStyle name="Normal 2 9 7" xfId="5243"/>
    <cellStyle name="Normal 2 9 7 2" xfId="5244"/>
    <cellStyle name="Normal 2 9 7 2 2" xfId="5245"/>
    <cellStyle name="Normal 2 9 7 3" xfId="5246"/>
    <cellStyle name="Normal 2 9 8" xfId="5247"/>
    <cellStyle name="Normal 2 9 8 2" xfId="5248"/>
    <cellStyle name="Normal 2 9 8 2 2" xfId="5249"/>
    <cellStyle name="Normal 2 9 8 3" xfId="5250"/>
    <cellStyle name="Normal 2 9 9" xfId="5251"/>
    <cellStyle name="Normal 2 9 9 2" xfId="5252"/>
    <cellStyle name="Normal 2 9 9 2 2" xfId="5253"/>
    <cellStyle name="Normal 2 9 9 3" xfId="5254"/>
    <cellStyle name="Normal 2 90" xfId="5255"/>
    <cellStyle name="Normal 2 90 2" xfId="5256"/>
    <cellStyle name="Normal 2 90 2 2" xfId="5257"/>
    <cellStyle name="Normal 2 90 3" xfId="5258"/>
    <cellStyle name="Normal 2 91" xfId="5259"/>
    <cellStyle name="Normal 2 91 2" xfId="5260"/>
    <cellStyle name="Normal 2 91 2 2" xfId="5261"/>
    <cellStyle name="Normal 2 91 3" xfId="5262"/>
    <cellStyle name="Normal 2 92" xfId="5263"/>
    <cellStyle name="Normal 2 92 2" xfId="5264"/>
    <cellStyle name="Normal 2 92 2 2" xfId="5265"/>
    <cellStyle name="Normal 2 92 3" xfId="5266"/>
    <cellStyle name="Normal 2 93" xfId="5267"/>
    <cellStyle name="Normal 2 93 2" xfId="5268"/>
    <cellStyle name="Normal 2 93 2 2" xfId="5269"/>
    <cellStyle name="Normal 2 93 3" xfId="5270"/>
    <cellStyle name="Normal 2 94" xfId="5271"/>
    <cellStyle name="Normal 2 94 2" xfId="5272"/>
    <cellStyle name="Normal 2 94 3" xfId="5273"/>
    <cellStyle name="Normal 2 95" xfId="5274"/>
    <cellStyle name="Normal 2 95 2" xfId="5275"/>
    <cellStyle name="Normal 2 95 3" xfId="5276"/>
    <cellStyle name="Normal 2 96" xfId="5277"/>
    <cellStyle name="Normal 2 96 2" xfId="5278"/>
    <cellStyle name="Normal 2 96 3" xfId="5279"/>
    <cellStyle name="Normal 2 97" xfId="5280"/>
    <cellStyle name="Normal 2 97 2" xfId="5281"/>
    <cellStyle name="Normal 2 97 3" xfId="5282"/>
    <cellStyle name="Normal 2 98" xfId="5283"/>
    <cellStyle name="Normal 2 98 2" xfId="5284"/>
    <cellStyle name="Normal 2 98 3" xfId="5285"/>
    <cellStyle name="Normal 2 99" xfId="5286"/>
    <cellStyle name="Normal 2 99 2" xfId="5287"/>
    <cellStyle name="Normal 2 99 3" xfId="5288"/>
    <cellStyle name="Normal 2_DEER 032008 Cost Summary Delivery - Rev 4 (2)" xfId="5289"/>
    <cellStyle name="Normal 20" xfId="1053"/>
    <cellStyle name="Normal 21" xfId="1054"/>
    <cellStyle name="Normal 22" xfId="1055"/>
    <cellStyle name="Normal 23" xfId="1056"/>
    <cellStyle name="Normal 24" xfId="1057"/>
    <cellStyle name="Normal 24 2" xfId="5290"/>
    <cellStyle name="Normal 25" xfId="1058"/>
    <cellStyle name="Normal 26" xfId="1059"/>
    <cellStyle name="Normal 27" xfId="1060"/>
    <cellStyle name="Normal 28" xfId="1061"/>
    <cellStyle name="Normal 29" xfId="1062"/>
    <cellStyle name="Normal 3" xfId="14"/>
    <cellStyle name="Normal 3 10" xfId="5291"/>
    <cellStyle name="Normal 3 10 10" xfId="5292"/>
    <cellStyle name="Normal 3 10 10 2" xfId="5293"/>
    <cellStyle name="Normal 3 10 10 2 2" xfId="5294"/>
    <cellStyle name="Normal 3 10 10 3" xfId="5295"/>
    <cellStyle name="Normal 3 10 11" xfId="5296"/>
    <cellStyle name="Normal 3 10 11 2" xfId="5297"/>
    <cellStyle name="Normal 3 10 11 2 2" xfId="5298"/>
    <cellStyle name="Normal 3 10 11 3" xfId="5299"/>
    <cellStyle name="Normal 3 10 12" xfId="5300"/>
    <cellStyle name="Normal 3 10 12 2" xfId="5301"/>
    <cellStyle name="Normal 3 10 12 2 2" xfId="5302"/>
    <cellStyle name="Normal 3 10 12 3" xfId="5303"/>
    <cellStyle name="Normal 3 10 13" xfId="5304"/>
    <cellStyle name="Normal 3 10 13 2" xfId="5305"/>
    <cellStyle name="Normal 3 10 13 2 2" xfId="5306"/>
    <cellStyle name="Normal 3 10 13 3" xfId="5307"/>
    <cellStyle name="Normal 3 10 14" xfId="5308"/>
    <cellStyle name="Normal 3 10 14 2" xfId="5309"/>
    <cellStyle name="Normal 3 10 14 2 2" xfId="5310"/>
    <cellStyle name="Normal 3 10 14 3" xfId="5311"/>
    <cellStyle name="Normal 3 10 15" xfId="5312"/>
    <cellStyle name="Normal 3 10 15 2" xfId="5313"/>
    <cellStyle name="Normal 3 10 15 2 2" xfId="5314"/>
    <cellStyle name="Normal 3 10 15 3" xfId="5315"/>
    <cellStyle name="Normal 3 10 16" xfId="5316"/>
    <cellStyle name="Normal 3 10 16 2" xfId="5317"/>
    <cellStyle name="Normal 3 10 16 2 2" xfId="5318"/>
    <cellStyle name="Normal 3 10 16 3" xfId="5319"/>
    <cellStyle name="Normal 3 10 17" xfId="5320"/>
    <cellStyle name="Normal 3 10 17 2" xfId="5321"/>
    <cellStyle name="Normal 3 10 17 2 2" xfId="5322"/>
    <cellStyle name="Normal 3 10 17 3" xfId="5323"/>
    <cellStyle name="Normal 3 10 18" xfId="5324"/>
    <cellStyle name="Normal 3 10 18 2" xfId="5325"/>
    <cellStyle name="Normal 3 10 18 2 2" xfId="5326"/>
    <cellStyle name="Normal 3 10 18 3" xfId="5327"/>
    <cellStyle name="Normal 3 10 19" xfId="5328"/>
    <cellStyle name="Normal 3 10 19 2" xfId="5329"/>
    <cellStyle name="Normal 3 10 19 2 2" xfId="5330"/>
    <cellStyle name="Normal 3 10 19 3" xfId="5331"/>
    <cellStyle name="Normal 3 10 2" xfId="5332"/>
    <cellStyle name="Normal 3 10 2 2" xfId="5333"/>
    <cellStyle name="Normal 3 10 2 2 2" xfId="5334"/>
    <cellStyle name="Normal 3 10 2 3" xfId="5335"/>
    <cellStyle name="Normal 3 10 20" xfId="5336"/>
    <cellStyle name="Normal 3 10 20 2" xfId="5337"/>
    <cellStyle name="Normal 3 10 20 2 2" xfId="5338"/>
    <cellStyle name="Normal 3 10 20 3" xfId="5339"/>
    <cellStyle name="Normal 3 10 21" xfId="5340"/>
    <cellStyle name="Normal 3 10 21 2" xfId="5341"/>
    <cellStyle name="Normal 3 10 21 2 2" xfId="5342"/>
    <cellStyle name="Normal 3 10 21 3" xfId="5343"/>
    <cellStyle name="Normal 3 10 22" xfId="5344"/>
    <cellStyle name="Normal 3 10 22 2" xfId="5345"/>
    <cellStyle name="Normal 3 10 22 2 2" xfId="5346"/>
    <cellStyle name="Normal 3 10 22 3" xfId="5347"/>
    <cellStyle name="Normal 3 10 23" xfId="5348"/>
    <cellStyle name="Normal 3 10 23 2" xfId="5349"/>
    <cellStyle name="Normal 3 10 23 2 2" xfId="5350"/>
    <cellStyle name="Normal 3 10 23 3" xfId="5351"/>
    <cellStyle name="Normal 3 10 24" xfId="5352"/>
    <cellStyle name="Normal 3 10 24 2" xfId="5353"/>
    <cellStyle name="Normal 3 10 25" xfId="5354"/>
    <cellStyle name="Normal 3 10 3" xfId="5355"/>
    <cellStyle name="Normal 3 10 3 2" xfId="5356"/>
    <cellStyle name="Normal 3 10 3 2 2" xfId="5357"/>
    <cellStyle name="Normal 3 10 3 3" xfId="5358"/>
    <cellStyle name="Normal 3 10 4" xfId="5359"/>
    <cellStyle name="Normal 3 10 4 2" xfId="5360"/>
    <cellStyle name="Normal 3 10 4 2 2" xfId="5361"/>
    <cellStyle name="Normal 3 10 4 3" xfId="5362"/>
    <cellStyle name="Normal 3 10 5" xfId="5363"/>
    <cellStyle name="Normal 3 10 5 2" xfId="5364"/>
    <cellStyle name="Normal 3 10 5 2 2" xfId="5365"/>
    <cellStyle name="Normal 3 10 5 3" xfId="5366"/>
    <cellStyle name="Normal 3 10 6" xfId="5367"/>
    <cellStyle name="Normal 3 10 6 2" xfId="5368"/>
    <cellStyle name="Normal 3 10 6 2 2" xfId="5369"/>
    <cellStyle name="Normal 3 10 6 3" xfId="5370"/>
    <cellStyle name="Normal 3 10 7" xfId="5371"/>
    <cellStyle name="Normal 3 10 7 2" xfId="5372"/>
    <cellStyle name="Normal 3 10 7 2 2" xfId="5373"/>
    <cellStyle name="Normal 3 10 7 3" xfId="5374"/>
    <cellStyle name="Normal 3 10 8" xfId="5375"/>
    <cellStyle name="Normal 3 10 8 2" xfId="5376"/>
    <cellStyle name="Normal 3 10 8 2 2" xfId="5377"/>
    <cellStyle name="Normal 3 10 8 3" xfId="5378"/>
    <cellStyle name="Normal 3 10 9" xfId="5379"/>
    <cellStyle name="Normal 3 10 9 2" xfId="5380"/>
    <cellStyle name="Normal 3 10 9 2 2" xfId="5381"/>
    <cellStyle name="Normal 3 10 9 3" xfId="5382"/>
    <cellStyle name="Normal 3 11" xfId="5383"/>
    <cellStyle name="Normal 3 11 10" xfId="5384"/>
    <cellStyle name="Normal 3 11 10 2" xfId="5385"/>
    <cellStyle name="Normal 3 11 10 2 2" xfId="5386"/>
    <cellStyle name="Normal 3 11 10 3" xfId="5387"/>
    <cellStyle name="Normal 3 11 11" xfId="5388"/>
    <cellStyle name="Normal 3 11 11 2" xfId="5389"/>
    <cellStyle name="Normal 3 11 11 2 2" xfId="5390"/>
    <cellStyle name="Normal 3 11 11 3" xfId="5391"/>
    <cellStyle name="Normal 3 11 12" xfId="5392"/>
    <cellStyle name="Normal 3 11 12 2" xfId="5393"/>
    <cellStyle name="Normal 3 11 12 2 2" xfId="5394"/>
    <cellStyle name="Normal 3 11 12 3" xfId="5395"/>
    <cellStyle name="Normal 3 11 13" xfId="5396"/>
    <cellStyle name="Normal 3 11 13 2" xfId="5397"/>
    <cellStyle name="Normal 3 11 13 2 2" xfId="5398"/>
    <cellStyle name="Normal 3 11 13 3" xfId="5399"/>
    <cellStyle name="Normal 3 11 14" xfId="5400"/>
    <cellStyle name="Normal 3 11 14 2" xfId="5401"/>
    <cellStyle name="Normal 3 11 14 2 2" xfId="5402"/>
    <cellStyle name="Normal 3 11 14 3" xfId="5403"/>
    <cellStyle name="Normal 3 11 15" xfId="5404"/>
    <cellStyle name="Normal 3 11 15 2" xfId="5405"/>
    <cellStyle name="Normal 3 11 15 2 2" xfId="5406"/>
    <cellStyle name="Normal 3 11 15 3" xfId="5407"/>
    <cellStyle name="Normal 3 11 16" xfId="5408"/>
    <cellStyle name="Normal 3 11 16 2" xfId="5409"/>
    <cellStyle name="Normal 3 11 16 2 2" xfId="5410"/>
    <cellStyle name="Normal 3 11 16 3" xfId="5411"/>
    <cellStyle name="Normal 3 11 17" xfId="5412"/>
    <cellStyle name="Normal 3 11 17 2" xfId="5413"/>
    <cellStyle name="Normal 3 11 17 2 2" xfId="5414"/>
    <cellStyle name="Normal 3 11 17 3" xfId="5415"/>
    <cellStyle name="Normal 3 11 18" xfId="5416"/>
    <cellStyle name="Normal 3 11 18 2" xfId="5417"/>
    <cellStyle name="Normal 3 11 18 2 2" xfId="5418"/>
    <cellStyle name="Normal 3 11 18 3" xfId="5419"/>
    <cellStyle name="Normal 3 11 19" xfId="5420"/>
    <cellStyle name="Normal 3 11 19 2" xfId="5421"/>
    <cellStyle name="Normal 3 11 19 2 2" xfId="5422"/>
    <cellStyle name="Normal 3 11 19 3" xfId="5423"/>
    <cellStyle name="Normal 3 11 2" xfId="5424"/>
    <cellStyle name="Normal 3 11 2 2" xfId="5425"/>
    <cellStyle name="Normal 3 11 2 2 2" xfId="5426"/>
    <cellStyle name="Normal 3 11 2 3" xfId="5427"/>
    <cellStyle name="Normal 3 11 20" xfId="5428"/>
    <cellStyle name="Normal 3 11 20 2" xfId="5429"/>
    <cellStyle name="Normal 3 11 20 2 2" xfId="5430"/>
    <cellStyle name="Normal 3 11 20 3" xfId="5431"/>
    <cellStyle name="Normal 3 11 21" xfId="5432"/>
    <cellStyle name="Normal 3 11 21 2" xfId="5433"/>
    <cellStyle name="Normal 3 11 21 2 2" xfId="5434"/>
    <cellStyle name="Normal 3 11 21 3" xfId="5435"/>
    <cellStyle name="Normal 3 11 22" xfId="5436"/>
    <cellStyle name="Normal 3 11 22 2" xfId="5437"/>
    <cellStyle name="Normal 3 11 22 2 2" xfId="5438"/>
    <cellStyle name="Normal 3 11 22 3" xfId="5439"/>
    <cellStyle name="Normal 3 11 23" xfId="5440"/>
    <cellStyle name="Normal 3 11 23 2" xfId="5441"/>
    <cellStyle name="Normal 3 11 23 2 2" xfId="5442"/>
    <cellStyle name="Normal 3 11 23 3" xfId="5443"/>
    <cellStyle name="Normal 3 11 24" xfId="5444"/>
    <cellStyle name="Normal 3 11 24 2" xfId="5445"/>
    <cellStyle name="Normal 3 11 25" xfId="5446"/>
    <cellStyle name="Normal 3 11 3" xfId="5447"/>
    <cellStyle name="Normal 3 11 3 2" xfId="5448"/>
    <cellStyle name="Normal 3 11 3 2 2" xfId="5449"/>
    <cellStyle name="Normal 3 11 3 3" xfId="5450"/>
    <cellStyle name="Normal 3 11 4" xfId="5451"/>
    <cellStyle name="Normal 3 11 4 2" xfId="5452"/>
    <cellStyle name="Normal 3 11 4 2 2" xfId="5453"/>
    <cellStyle name="Normal 3 11 4 3" xfId="5454"/>
    <cellStyle name="Normal 3 11 5" xfId="5455"/>
    <cellStyle name="Normal 3 11 5 2" xfId="5456"/>
    <cellStyle name="Normal 3 11 5 2 2" xfId="5457"/>
    <cellStyle name="Normal 3 11 5 3" xfId="5458"/>
    <cellStyle name="Normal 3 11 6" xfId="5459"/>
    <cellStyle name="Normal 3 11 6 2" xfId="5460"/>
    <cellStyle name="Normal 3 11 6 2 2" xfId="5461"/>
    <cellStyle name="Normal 3 11 6 3" xfId="5462"/>
    <cellStyle name="Normal 3 11 7" xfId="5463"/>
    <cellStyle name="Normal 3 11 7 2" xfId="5464"/>
    <cellStyle name="Normal 3 11 7 2 2" xfId="5465"/>
    <cellStyle name="Normal 3 11 7 3" xfId="5466"/>
    <cellStyle name="Normal 3 11 8" xfId="5467"/>
    <cellStyle name="Normal 3 11 8 2" xfId="5468"/>
    <cellStyle name="Normal 3 11 8 2 2" xfId="5469"/>
    <cellStyle name="Normal 3 11 8 3" xfId="5470"/>
    <cellStyle name="Normal 3 11 9" xfId="5471"/>
    <cellStyle name="Normal 3 11 9 2" xfId="5472"/>
    <cellStyle name="Normal 3 11 9 2 2" xfId="5473"/>
    <cellStyle name="Normal 3 11 9 3" xfId="5474"/>
    <cellStyle name="Normal 3 12" xfId="5475"/>
    <cellStyle name="Normal 3 12 10" xfId="5476"/>
    <cellStyle name="Normal 3 12 10 2" xfId="5477"/>
    <cellStyle name="Normal 3 12 10 2 2" xfId="5478"/>
    <cellStyle name="Normal 3 12 10 3" xfId="5479"/>
    <cellStyle name="Normal 3 12 11" xfId="5480"/>
    <cellStyle name="Normal 3 12 11 2" xfId="5481"/>
    <cellStyle name="Normal 3 12 11 2 2" xfId="5482"/>
    <cellStyle name="Normal 3 12 11 3" xfId="5483"/>
    <cellStyle name="Normal 3 12 12" xfId="5484"/>
    <cellStyle name="Normal 3 12 12 2" xfId="5485"/>
    <cellStyle name="Normal 3 12 12 2 2" xfId="5486"/>
    <cellStyle name="Normal 3 12 12 3" xfId="5487"/>
    <cellStyle name="Normal 3 12 13" xfId="5488"/>
    <cellStyle name="Normal 3 12 13 2" xfId="5489"/>
    <cellStyle name="Normal 3 12 13 2 2" xfId="5490"/>
    <cellStyle name="Normal 3 12 13 3" xfId="5491"/>
    <cellStyle name="Normal 3 12 14" xfId="5492"/>
    <cellStyle name="Normal 3 12 14 2" xfId="5493"/>
    <cellStyle name="Normal 3 12 14 2 2" xfId="5494"/>
    <cellStyle name="Normal 3 12 14 3" xfId="5495"/>
    <cellStyle name="Normal 3 12 15" xfId="5496"/>
    <cellStyle name="Normal 3 12 15 2" xfId="5497"/>
    <cellStyle name="Normal 3 12 15 2 2" xfId="5498"/>
    <cellStyle name="Normal 3 12 15 3" xfId="5499"/>
    <cellStyle name="Normal 3 12 16" xfId="5500"/>
    <cellStyle name="Normal 3 12 16 2" xfId="5501"/>
    <cellStyle name="Normal 3 12 16 2 2" xfId="5502"/>
    <cellStyle name="Normal 3 12 16 3" xfId="5503"/>
    <cellStyle name="Normal 3 12 17" xfId="5504"/>
    <cellStyle name="Normal 3 12 17 2" xfId="5505"/>
    <cellStyle name="Normal 3 12 17 2 2" xfId="5506"/>
    <cellStyle name="Normal 3 12 17 3" xfId="5507"/>
    <cellStyle name="Normal 3 12 18" xfId="5508"/>
    <cellStyle name="Normal 3 12 18 2" xfId="5509"/>
    <cellStyle name="Normal 3 12 18 2 2" xfId="5510"/>
    <cellStyle name="Normal 3 12 18 3" xfId="5511"/>
    <cellStyle name="Normal 3 12 19" xfId="5512"/>
    <cellStyle name="Normal 3 12 19 2" xfId="5513"/>
    <cellStyle name="Normal 3 12 19 2 2" xfId="5514"/>
    <cellStyle name="Normal 3 12 19 3" xfId="5515"/>
    <cellStyle name="Normal 3 12 2" xfId="5516"/>
    <cellStyle name="Normal 3 12 2 2" xfId="5517"/>
    <cellStyle name="Normal 3 12 2 2 2" xfId="5518"/>
    <cellStyle name="Normal 3 12 2 3" xfId="5519"/>
    <cellStyle name="Normal 3 12 20" xfId="5520"/>
    <cellStyle name="Normal 3 12 20 2" xfId="5521"/>
    <cellStyle name="Normal 3 12 20 2 2" xfId="5522"/>
    <cellStyle name="Normal 3 12 20 3" xfId="5523"/>
    <cellStyle name="Normal 3 12 21" xfId="5524"/>
    <cellStyle name="Normal 3 12 21 2" xfId="5525"/>
    <cellStyle name="Normal 3 12 21 2 2" xfId="5526"/>
    <cellStyle name="Normal 3 12 21 3" xfId="5527"/>
    <cellStyle name="Normal 3 12 22" xfId="5528"/>
    <cellStyle name="Normal 3 12 22 2" xfId="5529"/>
    <cellStyle name="Normal 3 12 22 2 2" xfId="5530"/>
    <cellStyle name="Normal 3 12 22 3" xfId="5531"/>
    <cellStyle name="Normal 3 12 23" xfId="5532"/>
    <cellStyle name="Normal 3 12 23 2" xfId="5533"/>
    <cellStyle name="Normal 3 12 23 2 2" xfId="5534"/>
    <cellStyle name="Normal 3 12 23 3" xfId="5535"/>
    <cellStyle name="Normal 3 12 24" xfId="5536"/>
    <cellStyle name="Normal 3 12 24 2" xfId="5537"/>
    <cellStyle name="Normal 3 12 25" xfId="5538"/>
    <cellStyle name="Normal 3 12 3" xfId="5539"/>
    <cellStyle name="Normal 3 12 3 2" xfId="5540"/>
    <cellStyle name="Normal 3 12 3 2 2" xfId="5541"/>
    <cellStyle name="Normal 3 12 3 3" xfId="5542"/>
    <cellStyle name="Normal 3 12 4" xfId="5543"/>
    <cellStyle name="Normal 3 12 4 2" xfId="5544"/>
    <cellStyle name="Normal 3 12 4 2 2" xfId="5545"/>
    <cellStyle name="Normal 3 12 4 3" xfId="5546"/>
    <cellStyle name="Normal 3 12 5" xfId="5547"/>
    <cellStyle name="Normal 3 12 5 2" xfId="5548"/>
    <cellStyle name="Normal 3 12 5 2 2" xfId="5549"/>
    <cellStyle name="Normal 3 12 5 3" xfId="5550"/>
    <cellStyle name="Normal 3 12 6" xfId="5551"/>
    <cellStyle name="Normal 3 12 6 2" xfId="5552"/>
    <cellStyle name="Normal 3 12 6 2 2" xfId="5553"/>
    <cellStyle name="Normal 3 12 6 3" xfId="5554"/>
    <cellStyle name="Normal 3 12 7" xfId="5555"/>
    <cellStyle name="Normal 3 12 7 2" xfId="5556"/>
    <cellStyle name="Normal 3 12 7 2 2" xfId="5557"/>
    <cellStyle name="Normal 3 12 7 3" xfId="5558"/>
    <cellStyle name="Normal 3 12 8" xfId="5559"/>
    <cellStyle name="Normal 3 12 8 2" xfId="5560"/>
    <cellStyle name="Normal 3 12 8 2 2" xfId="5561"/>
    <cellStyle name="Normal 3 12 8 3" xfId="5562"/>
    <cellStyle name="Normal 3 12 9" xfId="5563"/>
    <cellStyle name="Normal 3 12 9 2" xfId="5564"/>
    <cellStyle name="Normal 3 12 9 2 2" xfId="5565"/>
    <cellStyle name="Normal 3 12 9 3" xfId="5566"/>
    <cellStyle name="Normal 3 13" xfId="5567"/>
    <cellStyle name="Normal 3 13 10" xfId="5568"/>
    <cellStyle name="Normal 3 13 10 2" xfId="5569"/>
    <cellStyle name="Normal 3 13 10 2 2" xfId="5570"/>
    <cellStyle name="Normal 3 13 10 3" xfId="5571"/>
    <cellStyle name="Normal 3 13 11" xfId="5572"/>
    <cellStyle name="Normal 3 13 11 2" xfId="5573"/>
    <cellStyle name="Normal 3 13 11 2 2" xfId="5574"/>
    <cellStyle name="Normal 3 13 11 3" xfId="5575"/>
    <cellStyle name="Normal 3 13 12" xfId="5576"/>
    <cellStyle name="Normal 3 13 12 2" xfId="5577"/>
    <cellStyle name="Normal 3 13 12 2 2" xfId="5578"/>
    <cellStyle name="Normal 3 13 12 3" xfId="5579"/>
    <cellStyle name="Normal 3 13 13" xfId="5580"/>
    <cellStyle name="Normal 3 13 13 2" xfId="5581"/>
    <cellStyle name="Normal 3 13 13 2 2" xfId="5582"/>
    <cellStyle name="Normal 3 13 13 3" xfId="5583"/>
    <cellStyle name="Normal 3 13 14" xfId="5584"/>
    <cellStyle name="Normal 3 13 14 2" xfId="5585"/>
    <cellStyle name="Normal 3 13 14 2 2" xfId="5586"/>
    <cellStyle name="Normal 3 13 14 3" xfId="5587"/>
    <cellStyle name="Normal 3 13 15" xfId="5588"/>
    <cellStyle name="Normal 3 13 15 2" xfId="5589"/>
    <cellStyle name="Normal 3 13 15 2 2" xfId="5590"/>
    <cellStyle name="Normal 3 13 15 3" xfId="5591"/>
    <cellStyle name="Normal 3 13 16" xfId="5592"/>
    <cellStyle name="Normal 3 13 16 2" xfId="5593"/>
    <cellStyle name="Normal 3 13 16 2 2" xfId="5594"/>
    <cellStyle name="Normal 3 13 16 3" xfId="5595"/>
    <cellStyle name="Normal 3 13 17" xfId="5596"/>
    <cellStyle name="Normal 3 13 17 2" xfId="5597"/>
    <cellStyle name="Normal 3 13 17 2 2" xfId="5598"/>
    <cellStyle name="Normal 3 13 17 3" xfId="5599"/>
    <cellStyle name="Normal 3 13 18" xfId="5600"/>
    <cellStyle name="Normal 3 13 18 2" xfId="5601"/>
    <cellStyle name="Normal 3 13 18 2 2" xfId="5602"/>
    <cellStyle name="Normal 3 13 18 3" xfId="5603"/>
    <cellStyle name="Normal 3 13 19" xfId="5604"/>
    <cellStyle name="Normal 3 13 19 2" xfId="5605"/>
    <cellStyle name="Normal 3 13 19 2 2" xfId="5606"/>
    <cellStyle name="Normal 3 13 19 3" xfId="5607"/>
    <cellStyle name="Normal 3 13 2" xfId="5608"/>
    <cellStyle name="Normal 3 13 2 2" xfId="5609"/>
    <cellStyle name="Normal 3 13 2 2 2" xfId="5610"/>
    <cellStyle name="Normal 3 13 2 3" xfId="5611"/>
    <cellStyle name="Normal 3 13 20" xfId="5612"/>
    <cellStyle name="Normal 3 13 20 2" xfId="5613"/>
    <cellStyle name="Normal 3 13 20 2 2" xfId="5614"/>
    <cellStyle name="Normal 3 13 20 3" xfId="5615"/>
    <cellStyle name="Normal 3 13 21" xfId="5616"/>
    <cellStyle name="Normal 3 13 21 2" xfId="5617"/>
    <cellStyle name="Normal 3 13 21 2 2" xfId="5618"/>
    <cellStyle name="Normal 3 13 21 3" xfId="5619"/>
    <cellStyle name="Normal 3 13 22" xfId="5620"/>
    <cellStyle name="Normal 3 13 22 2" xfId="5621"/>
    <cellStyle name="Normal 3 13 22 2 2" xfId="5622"/>
    <cellStyle name="Normal 3 13 22 3" xfId="5623"/>
    <cellStyle name="Normal 3 13 23" xfId="5624"/>
    <cellStyle name="Normal 3 13 23 2" xfId="5625"/>
    <cellStyle name="Normal 3 13 23 2 2" xfId="5626"/>
    <cellStyle name="Normal 3 13 23 3" xfId="5627"/>
    <cellStyle name="Normal 3 13 24" xfId="5628"/>
    <cellStyle name="Normal 3 13 24 2" xfId="5629"/>
    <cellStyle name="Normal 3 13 25" xfId="5630"/>
    <cellStyle name="Normal 3 13 3" xfId="5631"/>
    <cellStyle name="Normal 3 13 3 2" xfId="5632"/>
    <cellStyle name="Normal 3 13 3 2 2" xfId="5633"/>
    <cellStyle name="Normal 3 13 3 3" xfId="5634"/>
    <cellStyle name="Normal 3 13 4" xfId="5635"/>
    <cellStyle name="Normal 3 13 4 2" xfId="5636"/>
    <cellStyle name="Normal 3 13 4 2 2" xfId="5637"/>
    <cellStyle name="Normal 3 13 4 3" xfId="5638"/>
    <cellStyle name="Normal 3 13 5" xfId="5639"/>
    <cellStyle name="Normal 3 13 5 2" xfId="5640"/>
    <cellStyle name="Normal 3 13 5 2 2" xfId="5641"/>
    <cellStyle name="Normal 3 13 5 3" xfId="5642"/>
    <cellStyle name="Normal 3 13 6" xfId="5643"/>
    <cellStyle name="Normal 3 13 6 2" xfId="5644"/>
    <cellStyle name="Normal 3 13 6 2 2" xfId="5645"/>
    <cellStyle name="Normal 3 13 6 3" xfId="5646"/>
    <cellStyle name="Normal 3 13 7" xfId="5647"/>
    <cellStyle name="Normal 3 13 7 2" xfId="5648"/>
    <cellStyle name="Normal 3 13 7 2 2" xfId="5649"/>
    <cellStyle name="Normal 3 13 7 3" xfId="5650"/>
    <cellStyle name="Normal 3 13 8" xfId="5651"/>
    <cellStyle name="Normal 3 13 8 2" xfId="5652"/>
    <cellStyle name="Normal 3 13 8 2 2" xfId="5653"/>
    <cellStyle name="Normal 3 13 8 3" xfId="5654"/>
    <cellStyle name="Normal 3 13 9" xfId="5655"/>
    <cellStyle name="Normal 3 13 9 2" xfId="5656"/>
    <cellStyle name="Normal 3 13 9 2 2" xfId="5657"/>
    <cellStyle name="Normal 3 13 9 3" xfId="5658"/>
    <cellStyle name="Normal 3 14" xfId="5659"/>
    <cellStyle name="Normal 3 14 10" xfId="5660"/>
    <cellStyle name="Normal 3 14 10 2" xfId="5661"/>
    <cellStyle name="Normal 3 14 10 2 2" xfId="5662"/>
    <cellStyle name="Normal 3 14 10 3" xfId="5663"/>
    <cellStyle name="Normal 3 14 11" xfId="5664"/>
    <cellStyle name="Normal 3 14 11 2" xfId="5665"/>
    <cellStyle name="Normal 3 14 11 2 2" xfId="5666"/>
    <cellStyle name="Normal 3 14 11 3" xfId="5667"/>
    <cellStyle name="Normal 3 14 12" xfId="5668"/>
    <cellStyle name="Normal 3 14 12 2" xfId="5669"/>
    <cellStyle name="Normal 3 14 12 2 2" xfId="5670"/>
    <cellStyle name="Normal 3 14 12 3" xfId="5671"/>
    <cellStyle name="Normal 3 14 13" xfId="5672"/>
    <cellStyle name="Normal 3 14 13 2" xfId="5673"/>
    <cellStyle name="Normal 3 14 13 2 2" xfId="5674"/>
    <cellStyle name="Normal 3 14 13 3" xfId="5675"/>
    <cellStyle name="Normal 3 14 14" xfId="5676"/>
    <cellStyle name="Normal 3 14 14 2" xfId="5677"/>
    <cellStyle name="Normal 3 14 14 2 2" xfId="5678"/>
    <cellStyle name="Normal 3 14 14 3" xfId="5679"/>
    <cellStyle name="Normal 3 14 15" xfId="5680"/>
    <cellStyle name="Normal 3 14 15 2" xfId="5681"/>
    <cellStyle name="Normal 3 14 15 2 2" xfId="5682"/>
    <cellStyle name="Normal 3 14 15 3" xfId="5683"/>
    <cellStyle name="Normal 3 14 16" xfId="5684"/>
    <cellStyle name="Normal 3 14 16 2" xfId="5685"/>
    <cellStyle name="Normal 3 14 16 2 2" xfId="5686"/>
    <cellStyle name="Normal 3 14 16 3" xfId="5687"/>
    <cellStyle name="Normal 3 14 17" xfId="5688"/>
    <cellStyle name="Normal 3 14 17 2" xfId="5689"/>
    <cellStyle name="Normal 3 14 17 2 2" xfId="5690"/>
    <cellStyle name="Normal 3 14 17 3" xfId="5691"/>
    <cellStyle name="Normal 3 14 18" xfId="5692"/>
    <cellStyle name="Normal 3 14 18 2" xfId="5693"/>
    <cellStyle name="Normal 3 14 18 2 2" xfId="5694"/>
    <cellStyle name="Normal 3 14 18 3" xfId="5695"/>
    <cellStyle name="Normal 3 14 19" xfId="5696"/>
    <cellStyle name="Normal 3 14 19 2" xfId="5697"/>
    <cellStyle name="Normal 3 14 19 2 2" xfId="5698"/>
    <cellStyle name="Normal 3 14 19 3" xfId="5699"/>
    <cellStyle name="Normal 3 14 2" xfId="5700"/>
    <cellStyle name="Normal 3 14 2 2" xfId="5701"/>
    <cellStyle name="Normal 3 14 2 2 2" xfId="5702"/>
    <cellStyle name="Normal 3 14 2 3" xfId="5703"/>
    <cellStyle name="Normal 3 14 20" xfId="5704"/>
    <cellStyle name="Normal 3 14 20 2" xfId="5705"/>
    <cellStyle name="Normal 3 14 20 2 2" xfId="5706"/>
    <cellStyle name="Normal 3 14 20 3" xfId="5707"/>
    <cellStyle name="Normal 3 14 21" xfId="5708"/>
    <cellStyle name="Normal 3 14 21 2" xfId="5709"/>
    <cellStyle name="Normal 3 14 21 2 2" xfId="5710"/>
    <cellStyle name="Normal 3 14 21 3" xfId="5711"/>
    <cellStyle name="Normal 3 14 22" xfId="5712"/>
    <cellStyle name="Normal 3 14 22 2" xfId="5713"/>
    <cellStyle name="Normal 3 14 22 2 2" xfId="5714"/>
    <cellStyle name="Normal 3 14 22 3" xfId="5715"/>
    <cellStyle name="Normal 3 14 23" xfId="5716"/>
    <cellStyle name="Normal 3 14 23 2" xfId="5717"/>
    <cellStyle name="Normal 3 14 23 2 2" xfId="5718"/>
    <cellStyle name="Normal 3 14 23 3" xfId="5719"/>
    <cellStyle name="Normal 3 14 24" xfId="5720"/>
    <cellStyle name="Normal 3 14 24 2" xfId="5721"/>
    <cellStyle name="Normal 3 14 25" xfId="5722"/>
    <cellStyle name="Normal 3 14 3" xfId="5723"/>
    <cellStyle name="Normal 3 14 3 2" xfId="5724"/>
    <cellStyle name="Normal 3 14 3 2 2" xfId="5725"/>
    <cellStyle name="Normal 3 14 3 3" xfId="5726"/>
    <cellStyle name="Normal 3 14 4" xfId="5727"/>
    <cellStyle name="Normal 3 14 4 2" xfId="5728"/>
    <cellStyle name="Normal 3 14 4 2 2" xfId="5729"/>
    <cellStyle name="Normal 3 14 4 3" xfId="5730"/>
    <cellStyle name="Normal 3 14 5" xfId="5731"/>
    <cellStyle name="Normal 3 14 5 2" xfId="5732"/>
    <cellStyle name="Normal 3 14 5 2 2" xfId="5733"/>
    <cellStyle name="Normal 3 14 5 3" xfId="5734"/>
    <cellStyle name="Normal 3 14 6" xfId="5735"/>
    <cellStyle name="Normal 3 14 6 2" xfId="5736"/>
    <cellStyle name="Normal 3 14 6 2 2" xfId="5737"/>
    <cellStyle name="Normal 3 14 6 3" xfId="5738"/>
    <cellStyle name="Normal 3 14 7" xfId="5739"/>
    <cellStyle name="Normal 3 14 7 2" xfId="5740"/>
    <cellStyle name="Normal 3 14 7 2 2" xfId="5741"/>
    <cellStyle name="Normal 3 14 7 3" xfId="5742"/>
    <cellStyle name="Normal 3 14 8" xfId="5743"/>
    <cellStyle name="Normal 3 14 8 2" xfId="5744"/>
    <cellStyle name="Normal 3 14 8 2 2" xfId="5745"/>
    <cellStyle name="Normal 3 14 8 3" xfId="5746"/>
    <cellStyle name="Normal 3 14 9" xfId="5747"/>
    <cellStyle name="Normal 3 14 9 2" xfId="5748"/>
    <cellStyle name="Normal 3 14 9 2 2" xfId="5749"/>
    <cellStyle name="Normal 3 14 9 3" xfId="5750"/>
    <cellStyle name="Normal 3 15" xfId="5751"/>
    <cellStyle name="Normal 3 15 10" xfId="5752"/>
    <cellStyle name="Normal 3 15 10 2" xfId="5753"/>
    <cellStyle name="Normal 3 15 10 2 2" xfId="5754"/>
    <cellStyle name="Normal 3 15 10 3" xfId="5755"/>
    <cellStyle name="Normal 3 15 11" xfId="5756"/>
    <cellStyle name="Normal 3 15 11 2" xfId="5757"/>
    <cellStyle name="Normal 3 15 11 2 2" xfId="5758"/>
    <cellStyle name="Normal 3 15 11 3" xfId="5759"/>
    <cellStyle name="Normal 3 15 12" xfId="5760"/>
    <cellStyle name="Normal 3 15 12 2" xfId="5761"/>
    <cellStyle name="Normal 3 15 12 2 2" xfId="5762"/>
    <cellStyle name="Normal 3 15 12 3" xfId="5763"/>
    <cellStyle name="Normal 3 15 13" xfId="5764"/>
    <cellStyle name="Normal 3 15 13 2" xfId="5765"/>
    <cellStyle name="Normal 3 15 13 2 2" xfId="5766"/>
    <cellStyle name="Normal 3 15 13 3" xfId="5767"/>
    <cellStyle name="Normal 3 15 14" xfId="5768"/>
    <cellStyle name="Normal 3 15 14 2" xfId="5769"/>
    <cellStyle name="Normal 3 15 14 2 2" xfId="5770"/>
    <cellStyle name="Normal 3 15 14 3" xfId="5771"/>
    <cellStyle name="Normal 3 15 15" xfId="5772"/>
    <cellStyle name="Normal 3 15 15 2" xfId="5773"/>
    <cellStyle name="Normal 3 15 15 2 2" xfId="5774"/>
    <cellStyle name="Normal 3 15 15 3" xfId="5775"/>
    <cellStyle name="Normal 3 15 16" xfId="5776"/>
    <cellStyle name="Normal 3 15 16 2" xfId="5777"/>
    <cellStyle name="Normal 3 15 16 2 2" xfId="5778"/>
    <cellStyle name="Normal 3 15 16 3" xfId="5779"/>
    <cellStyle name="Normal 3 15 17" xfId="5780"/>
    <cellStyle name="Normal 3 15 17 2" xfId="5781"/>
    <cellStyle name="Normal 3 15 17 2 2" xfId="5782"/>
    <cellStyle name="Normal 3 15 17 3" xfId="5783"/>
    <cellStyle name="Normal 3 15 18" xfId="5784"/>
    <cellStyle name="Normal 3 15 18 2" xfId="5785"/>
    <cellStyle name="Normal 3 15 18 2 2" xfId="5786"/>
    <cellStyle name="Normal 3 15 18 3" xfId="5787"/>
    <cellStyle name="Normal 3 15 19" xfId="5788"/>
    <cellStyle name="Normal 3 15 19 2" xfId="5789"/>
    <cellStyle name="Normal 3 15 19 2 2" xfId="5790"/>
    <cellStyle name="Normal 3 15 19 3" xfId="5791"/>
    <cellStyle name="Normal 3 15 2" xfId="5792"/>
    <cellStyle name="Normal 3 15 2 2" xfId="5793"/>
    <cellStyle name="Normal 3 15 2 2 2" xfId="5794"/>
    <cellStyle name="Normal 3 15 2 3" xfId="5795"/>
    <cellStyle name="Normal 3 15 20" xfId="5796"/>
    <cellStyle name="Normal 3 15 20 2" xfId="5797"/>
    <cellStyle name="Normal 3 15 20 2 2" xfId="5798"/>
    <cellStyle name="Normal 3 15 20 3" xfId="5799"/>
    <cellStyle name="Normal 3 15 21" xfId="5800"/>
    <cellStyle name="Normal 3 15 21 2" xfId="5801"/>
    <cellStyle name="Normal 3 15 21 2 2" xfId="5802"/>
    <cellStyle name="Normal 3 15 21 3" xfId="5803"/>
    <cellStyle name="Normal 3 15 22" xfId="5804"/>
    <cellStyle name="Normal 3 15 22 2" xfId="5805"/>
    <cellStyle name="Normal 3 15 22 2 2" xfId="5806"/>
    <cellStyle name="Normal 3 15 22 3" xfId="5807"/>
    <cellStyle name="Normal 3 15 23" xfId="5808"/>
    <cellStyle name="Normal 3 15 23 2" xfId="5809"/>
    <cellStyle name="Normal 3 15 23 2 2" xfId="5810"/>
    <cellStyle name="Normal 3 15 23 3" xfId="5811"/>
    <cellStyle name="Normal 3 15 24" xfId="5812"/>
    <cellStyle name="Normal 3 15 24 2" xfId="5813"/>
    <cellStyle name="Normal 3 15 25" xfId="5814"/>
    <cellStyle name="Normal 3 15 3" xfId="5815"/>
    <cellStyle name="Normal 3 15 3 2" xfId="5816"/>
    <cellStyle name="Normal 3 15 3 2 2" xfId="5817"/>
    <cellStyle name="Normal 3 15 3 3" xfId="5818"/>
    <cellStyle name="Normal 3 15 4" xfId="5819"/>
    <cellStyle name="Normal 3 15 4 2" xfId="5820"/>
    <cellStyle name="Normal 3 15 4 2 2" xfId="5821"/>
    <cellStyle name="Normal 3 15 4 3" xfId="5822"/>
    <cellStyle name="Normal 3 15 5" xfId="5823"/>
    <cellStyle name="Normal 3 15 5 2" xfId="5824"/>
    <cellStyle name="Normal 3 15 5 2 2" xfId="5825"/>
    <cellStyle name="Normal 3 15 5 3" xfId="5826"/>
    <cellStyle name="Normal 3 15 6" xfId="5827"/>
    <cellStyle name="Normal 3 15 6 2" xfId="5828"/>
    <cellStyle name="Normal 3 15 6 2 2" xfId="5829"/>
    <cellStyle name="Normal 3 15 6 3" xfId="5830"/>
    <cellStyle name="Normal 3 15 7" xfId="5831"/>
    <cellStyle name="Normal 3 15 7 2" xfId="5832"/>
    <cellStyle name="Normal 3 15 7 2 2" xfId="5833"/>
    <cellStyle name="Normal 3 15 7 3" xfId="5834"/>
    <cellStyle name="Normal 3 15 8" xfId="5835"/>
    <cellStyle name="Normal 3 15 8 2" xfId="5836"/>
    <cellStyle name="Normal 3 15 8 2 2" xfId="5837"/>
    <cellStyle name="Normal 3 15 8 3" xfId="5838"/>
    <cellStyle name="Normal 3 15 9" xfId="5839"/>
    <cellStyle name="Normal 3 15 9 2" xfId="5840"/>
    <cellStyle name="Normal 3 15 9 2 2" xfId="5841"/>
    <cellStyle name="Normal 3 15 9 3" xfId="5842"/>
    <cellStyle name="Normal 3 16" xfId="5843"/>
    <cellStyle name="Normal 3 16 10" xfId="5844"/>
    <cellStyle name="Normal 3 16 10 2" xfId="5845"/>
    <cellStyle name="Normal 3 16 10 2 2" xfId="5846"/>
    <cellStyle name="Normal 3 16 10 3" xfId="5847"/>
    <cellStyle name="Normal 3 16 11" xfId="5848"/>
    <cellStyle name="Normal 3 16 11 2" xfId="5849"/>
    <cellStyle name="Normal 3 16 11 2 2" xfId="5850"/>
    <cellStyle name="Normal 3 16 11 3" xfId="5851"/>
    <cellStyle name="Normal 3 16 12" xfId="5852"/>
    <cellStyle name="Normal 3 16 12 2" xfId="5853"/>
    <cellStyle name="Normal 3 16 12 2 2" xfId="5854"/>
    <cellStyle name="Normal 3 16 12 3" xfId="5855"/>
    <cellStyle name="Normal 3 16 13" xfId="5856"/>
    <cellStyle name="Normal 3 16 13 2" xfId="5857"/>
    <cellStyle name="Normal 3 16 13 2 2" xfId="5858"/>
    <cellStyle name="Normal 3 16 13 3" xfId="5859"/>
    <cellStyle name="Normal 3 16 14" xfId="5860"/>
    <cellStyle name="Normal 3 16 14 2" xfId="5861"/>
    <cellStyle name="Normal 3 16 14 2 2" xfId="5862"/>
    <cellStyle name="Normal 3 16 14 3" xfId="5863"/>
    <cellStyle name="Normal 3 16 15" xfId="5864"/>
    <cellStyle name="Normal 3 16 15 2" xfId="5865"/>
    <cellStyle name="Normal 3 16 15 2 2" xfId="5866"/>
    <cellStyle name="Normal 3 16 15 3" xfId="5867"/>
    <cellStyle name="Normal 3 16 16" xfId="5868"/>
    <cellStyle name="Normal 3 16 16 2" xfId="5869"/>
    <cellStyle name="Normal 3 16 16 2 2" xfId="5870"/>
    <cellStyle name="Normal 3 16 16 3" xfId="5871"/>
    <cellStyle name="Normal 3 16 17" xfId="5872"/>
    <cellStyle name="Normal 3 16 17 2" xfId="5873"/>
    <cellStyle name="Normal 3 16 17 2 2" xfId="5874"/>
    <cellStyle name="Normal 3 16 17 3" xfId="5875"/>
    <cellStyle name="Normal 3 16 18" xfId="5876"/>
    <cellStyle name="Normal 3 16 18 2" xfId="5877"/>
    <cellStyle name="Normal 3 16 18 2 2" xfId="5878"/>
    <cellStyle name="Normal 3 16 18 3" xfId="5879"/>
    <cellStyle name="Normal 3 16 19" xfId="5880"/>
    <cellStyle name="Normal 3 16 19 2" xfId="5881"/>
    <cellStyle name="Normal 3 16 19 2 2" xfId="5882"/>
    <cellStyle name="Normal 3 16 19 3" xfId="5883"/>
    <cellStyle name="Normal 3 16 2" xfId="5884"/>
    <cellStyle name="Normal 3 16 2 2" xfId="5885"/>
    <cellStyle name="Normal 3 16 2 2 2" xfId="5886"/>
    <cellStyle name="Normal 3 16 2 3" xfId="5887"/>
    <cellStyle name="Normal 3 16 20" xfId="5888"/>
    <cellStyle name="Normal 3 16 20 2" xfId="5889"/>
    <cellStyle name="Normal 3 16 20 2 2" xfId="5890"/>
    <cellStyle name="Normal 3 16 20 3" xfId="5891"/>
    <cellStyle name="Normal 3 16 21" xfId="5892"/>
    <cellStyle name="Normal 3 16 21 2" xfId="5893"/>
    <cellStyle name="Normal 3 16 21 2 2" xfId="5894"/>
    <cellStyle name="Normal 3 16 21 3" xfId="5895"/>
    <cellStyle name="Normal 3 16 22" xfId="5896"/>
    <cellStyle name="Normal 3 16 22 2" xfId="5897"/>
    <cellStyle name="Normal 3 16 22 2 2" xfId="5898"/>
    <cellStyle name="Normal 3 16 22 3" xfId="5899"/>
    <cellStyle name="Normal 3 16 23" xfId="5900"/>
    <cellStyle name="Normal 3 16 23 2" xfId="5901"/>
    <cellStyle name="Normal 3 16 23 2 2" xfId="5902"/>
    <cellStyle name="Normal 3 16 23 3" xfId="5903"/>
    <cellStyle name="Normal 3 16 24" xfId="5904"/>
    <cellStyle name="Normal 3 16 24 2" xfId="5905"/>
    <cellStyle name="Normal 3 16 25" xfId="5906"/>
    <cellStyle name="Normal 3 16 3" xfId="5907"/>
    <cellStyle name="Normal 3 16 3 2" xfId="5908"/>
    <cellStyle name="Normal 3 16 3 2 2" xfId="5909"/>
    <cellStyle name="Normal 3 16 3 3" xfId="5910"/>
    <cellStyle name="Normal 3 16 4" xfId="5911"/>
    <cellStyle name="Normal 3 16 4 2" xfId="5912"/>
    <cellStyle name="Normal 3 16 4 2 2" xfId="5913"/>
    <cellStyle name="Normal 3 16 4 3" xfId="5914"/>
    <cellStyle name="Normal 3 16 5" xfId="5915"/>
    <cellStyle name="Normal 3 16 5 2" xfId="5916"/>
    <cellStyle name="Normal 3 16 5 2 2" xfId="5917"/>
    <cellStyle name="Normal 3 16 5 3" xfId="5918"/>
    <cellStyle name="Normal 3 16 6" xfId="5919"/>
    <cellStyle name="Normal 3 16 6 2" xfId="5920"/>
    <cellStyle name="Normal 3 16 6 2 2" xfId="5921"/>
    <cellStyle name="Normal 3 16 6 3" xfId="5922"/>
    <cellStyle name="Normal 3 16 7" xfId="5923"/>
    <cellStyle name="Normal 3 16 7 2" xfId="5924"/>
    <cellStyle name="Normal 3 16 7 2 2" xfId="5925"/>
    <cellStyle name="Normal 3 16 7 3" xfId="5926"/>
    <cellStyle name="Normal 3 16 8" xfId="5927"/>
    <cellStyle name="Normal 3 16 8 2" xfId="5928"/>
    <cellStyle name="Normal 3 16 8 2 2" xfId="5929"/>
    <cellStyle name="Normal 3 16 8 3" xfId="5930"/>
    <cellStyle name="Normal 3 16 9" xfId="5931"/>
    <cellStyle name="Normal 3 16 9 2" xfId="5932"/>
    <cellStyle name="Normal 3 16 9 2 2" xfId="5933"/>
    <cellStyle name="Normal 3 16 9 3" xfId="5934"/>
    <cellStyle name="Normal 3 17" xfId="5935"/>
    <cellStyle name="Normal 3 17 10" xfId="5936"/>
    <cellStyle name="Normal 3 17 10 2" xfId="5937"/>
    <cellStyle name="Normal 3 17 10 2 2" xfId="5938"/>
    <cellStyle name="Normal 3 17 10 3" xfId="5939"/>
    <cellStyle name="Normal 3 17 11" xfId="5940"/>
    <cellStyle name="Normal 3 17 11 2" xfId="5941"/>
    <cellStyle name="Normal 3 17 11 2 2" xfId="5942"/>
    <cellStyle name="Normal 3 17 11 3" xfId="5943"/>
    <cellStyle name="Normal 3 17 12" xfId="5944"/>
    <cellStyle name="Normal 3 17 12 2" xfId="5945"/>
    <cellStyle name="Normal 3 17 12 2 2" xfId="5946"/>
    <cellStyle name="Normal 3 17 12 3" xfId="5947"/>
    <cellStyle name="Normal 3 17 13" xfId="5948"/>
    <cellStyle name="Normal 3 17 13 2" xfId="5949"/>
    <cellStyle name="Normal 3 17 13 2 2" xfId="5950"/>
    <cellStyle name="Normal 3 17 13 3" xfId="5951"/>
    <cellStyle name="Normal 3 17 14" xfId="5952"/>
    <cellStyle name="Normal 3 17 14 2" xfId="5953"/>
    <cellStyle name="Normal 3 17 14 2 2" xfId="5954"/>
    <cellStyle name="Normal 3 17 14 3" xfId="5955"/>
    <cellStyle name="Normal 3 17 15" xfId="5956"/>
    <cellStyle name="Normal 3 17 15 2" xfId="5957"/>
    <cellStyle name="Normal 3 17 15 2 2" xfId="5958"/>
    <cellStyle name="Normal 3 17 15 3" xfId="5959"/>
    <cellStyle name="Normal 3 17 16" xfId="5960"/>
    <cellStyle name="Normal 3 17 16 2" xfId="5961"/>
    <cellStyle name="Normal 3 17 16 2 2" xfId="5962"/>
    <cellStyle name="Normal 3 17 16 3" xfId="5963"/>
    <cellStyle name="Normal 3 17 17" xfId="5964"/>
    <cellStyle name="Normal 3 17 17 2" xfId="5965"/>
    <cellStyle name="Normal 3 17 17 2 2" xfId="5966"/>
    <cellStyle name="Normal 3 17 17 3" xfId="5967"/>
    <cellStyle name="Normal 3 17 18" xfId="5968"/>
    <cellStyle name="Normal 3 17 18 2" xfId="5969"/>
    <cellStyle name="Normal 3 17 18 2 2" xfId="5970"/>
    <cellStyle name="Normal 3 17 18 3" xfId="5971"/>
    <cellStyle name="Normal 3 17 19" xfId="5972"/>
    <cellStyle name="Normal 3 17 19 2" xfId="5973"/>
    <cellStyle name="Normal 3 17 19 2 2" xfId="5974"/>
    <cellStyle name="Normal 3 17 19 3" xfId="5975"/>
    <cellStyle name="Normal 3 17 2" xfId="5976"/>
    <cellStyle name="Normal 3 17 2 2" xfId="5977"/>
    <cellStyle name="Normal 3 17 2 2 2" xfId="5978"/>
    <cellStyle name="Normal 3 17 2 3" xfId="5979"/>
    <cellStyle name="Normal 3 17 20" xfId="5980"/>
    <cellStyle name="Normal 3 17 20 2" xfId="5981"/>
    <cellStyle name="Normal 3 17 20 2 2" xfId="5982"/>
    <cellStyle name="Normal 3 17 20 3" xfId="5983"/>
    <cellStyle name="Normal 3 17 21" xfId="5984"/>
    <cellStyle name="Normal 3 17 21 2" xfId="5985"/>
    <cellStyle name="Normal 3 17 21 2 2" xfId="5986"/>
    <cellStyle name="Normal 3 17 21 3" xfId="5987"/>
    <cellStyle name="Normal 3 17 22" xfId="5988"/>
    <cellStyle name="Normal 3 17 22 2" xfId="5989"/>
    <cellStyle name="Normal 3 17 22 2 2" xfId="5990"/>
    <cellStyle name="Normal 3 17 22 3" xfId="5991"/>
    <cellStyle name="Normal 3 17 23" xfId="5992"/>
    <cellStyle name="Normal 3 17 23 2" xfId="5993"/>
    <cellStyle name="Normal 3 17 23 2 2" xfId="5994"/>
    <cellStyle name="Normal 3 17 23 3" xfId="5995"/>
    <cellStyle name="Normal 3 17 24" xfId="5996"/>
    <cellStyle name="Normal 3 17 24 2" xfId="5997"/>
    <cellStyle name="Normal 3 17 25" xfId="5998"/>
    <cellStyle name="Normal 3 17 3" xfId="5999"/>
    <cellStyle name="Normal 3 17 3 2" xfId="6000"/>
    <cellStyle name="Normal 3 17 3 2 2" xfId="6001"/>
    <cellStyle name="Normal 3 17 3 3" xfId="6002"/>
    <cellStyle name="Normal 3 17 4" xfId="6003"/>
    <cellStyle name="Normal 3 17 4 2" xfId="6004"/>
    <cellStyle name="Normal 3 17 4 2 2" xfId="6005"/>
    <cellStyle name="Normal 3 17 4 3" xfId="6006"/>
    <cellStyle name="Normal 3 17 5" xfId="6007"/>
    <cellStyle name="Normal 3 17 5 2" xfId="6008"/>
    <cellStyle name="Normal 3 17 5 2 2" xfId="6009"/>
    <cellStyle name="Normal 3 17 5 3" xfId="6010"/>
    <cellStyle name="Normal 3 17 6" xfId="6011"/>
    <cellStyle name="Normal 3 17 6 2" xfId="6012"/>
    <cellStyle name="Normal 3 17 6 2 2" xfId="6013"/>
    <cellStyle name="Normal 3 17 6 3" xfId="6014"/>
    <cellStyle name="Normal 3 17 7" xfId="6015"/>
    <cellStyle name="Normal 3 17 7 2" xfId="6016"/>
    <cellStyle name="Normal 3 17 7 2 2" xfId="6017"/>
    <cellStyle name="Normal 3 17 7 3" xfId="6018"/>
    <cellStyle name="Normal 3 17 8" xfId="6019"/>
    <cellStyle name="Normal 3 17 8 2" xfId="6020"/>
    <cellStyle name="Normal 3 17 8 2 2" xfId="6021"/>
    <cellStyle name="Normal 3 17 8 3" xfId="6022"/>
    <cellStyle name="Normal 3 17 9" xfId="6023"/>
    <cellStyle name="Normal 3 17 9 2" xfId="6024"/>
    <cellStyle name="Normal 3 17 9 2 2" xfId="6025"/>
    <cellStyle name="Normal 3 17 9 3" xfId="6026"/>
    <cellStyle name="Normal 3 18" xfId="6027"/>
    <cellStyle name="Normal 3 18 10" xfId="6028"/>
    <cellStyle name="Normal 3 18 10 2" xfId="6029"/>
    <cellStyle name="Normal 3 18 10 2 2" xfId="6030"/>
    <cellStyle name="Normal 3 18 10 3" xfId="6031"/>
    <cellStyle name="Normal 3 18 11" xfId="6032"/>
    <cellStyle name="Normal 3 18 11 2" xfId="6033"/>
    <cellStyle name="Normal 3 18 11 2 2" xfId="6034"/>
    <cellStyle name="Normal 3 18 11 3" xfId="6035"/>
    <cellStyle name="Normal 3 18 12" xfId="6036"/>
    <cellStyle name="Normal 3 18 12 2" xfId="6037"/>
    <cellStyle name="Normal 3 18 12 2 2" xfId="6038"/>
    <cellStyle name="Normal 3 18 12 3" xfId="6039"/>
    <cellStyle name="Normal 3 18 13" xfId="6040"/>
    <cellStyle name="Normal 3 18 13 2" xfId="6041"/>
    <cellStyle name="Normal 3 18 13 2 2" xfId="6042"/>
    <cellStyle name="Normal 3 18 13 3" xfId="6043"/>
    <cellStyle name="Normal 3 18 14" xfId="6044"/>
    <cellStyle name="Normal 3 18 14 2" xfId="6045"/>
    <cellStyle name="Normal 3 18 14 2 2" xfId="6046"/>
    <cellStyle name="Normal 3 18 14 3" xfId="6047"/>
    <cellStyle name="Normal 3 18 15" xfId="6048"/>
    <cellStyle name="Normal 3 18 15 2" xfId="6049"/>
    <cellStyle name="Normal 3 18 15 2 2" xfId="6050"/>
    <cellStyle name="Normal 3 18 15 3" xfId="6051"/>
    <cellStyle name="Normal 3 18 16" xfId="6052"/>
    <cellStyle name="Normal 3 18 16 2" xfId="6053"/>
    <cellStyle name="Normal 3 18 16 2 2" xfId="6054"/>
    <cellStyle name="Normal 3 18 16 3" xfId="6055"/>
    <cellStyle name="Normal 3 18 17" xfId="6056"/>
    <cellStyle name="Normal 3 18 17 2" xfId="6057"/>
    <cellStyle name="Normal 3 18 17 2 2" xfId="6058"/>
    <cellStyle name="Normal 3 18 17 3" xfId="6059"/>
    <cellStyle name="Normal 3 18 18" xfId="6060"/>
    <cellStyle name="Normal 3 18 18 2" xfId="6061"/>
    <cellStyle name="Normal 3 18 18 2 2" xfId="6062"/>
    <cellStyle name="Normal 3 18 18 3" xfId="6063"/>
    <cellStyle name="Normal 3 18 19" xfId="6064"/>
    <cellStyle name="Normal 3 18 19 2" xfId="6065"/>
    <cellStyle name="Normal 3 18 19 2 2" xfId="6066"/>
    <cellStyle name="Normal 3 18 19 3" xfId="6067"/>
    <cellStyle name="Normal 3 18 2" xfId="6068"/>
    <cellStyle name="Normal 3 18 2 2" xfId="6069"/>
    <cellStyle name="Normal 3 18 2 2 2" xfId="6070"/>
    <cellStyle name="Normal 3 18 2 3" xfId="6071"/>
    <cellStyle name="Normal 3 18 20" xfId="6072"/>
    <cellStyle name="Normal 3 18 20 2" xfId="6073"/>
    <cellStyle name="Normal 3 18 20 2 2" xfId="6074"/>
    <cellStyle name="Normal 3 18 20 3" xfId="6075"/>
    <cellStyle name="Normal 3 18 21" xfId="6076"/>
    <cellStyle name="Normal 3 18 21 2" xfId="6077"/>
    <cellStyle name="Normal 3 18 21 2 2" xfId="6078"/>
    <cellStyle name="Normal 3 18 21 3" xfId="6079"/>
    <cellStyle name="Normal 3 18 22" xfId="6080"/>
    <cellStyle name="Normal 3 18 22 2" xfId="6081"/>
    <cellStyle name="Normal 3 18 22 2 2" xfId="6082"/>
    <cellStyle name="Normal 3 18 22 3" xfId="6083"/>
    <cellStyle name="Normal 3 18 23" xfId="6084"/>
    <cellStyle name="Normal 3 18 23 2" xfId="6085"/>
    <cellStyle name="Normal 3 18 23 2 2" xfId="6086"/>
    <cellStyle name="Normal 3 18 23 3" xfId="6087"/>
    <cellStyle name="Normal 3 18 24" xfId="6088"/>
    <cellStyle name="Normal 3 18 24 2" xfId="6089"/>
    <cellStyle name="Normal 3 18 25" xfId="6090"/>
    <cellStyle name="Normal 3 18 3" xfId="6091"/>
    <cellStyle name="Normal 3 18 3 2" xfId="6092"/>
    <cellStyle name="Normal 3 18 3 2 2" xfId="6093"/>
    <cellStyle name="Normal 3 18 3 3" xfId="6094"/>
    <cellStyle name="Normal 3 18 4" xfId="6095"/>
    <cellStyle name="Normal 3 18 4 2" xfId="6096"/>
    <cellStyle name="Normal 3 18 4 2 2" xfId="6097"/>
    <cellStyle name="Normal 3 18 4 3" xfId="6098"/>
    <cellStyle name="Normal 3 18 5" xfId="6099"/>
    <cellStyle name="Normal 3 18 5 2" xfId="6100"/>
    <cellStyle name="Normal 3 18 5 2 2" xfId="6101"/>
    <cellStyle name="Normal 3 18 5 3" xfId="6102"/>
    <cellStyle name="Normal 3 18 6" xfId="6103"/>
    <cellStyle name="Normal 3 18 6 2" xfId="6104"/>
    <cellStyle name="Normal 3 18 6 2 2" xfId="6105"/>
    <cellStyle name="Normal 3 18 6 3" xfId="6106"/>
    <cellStyle name="Normal 3 18 7" xfId="6107"/>
    <cellStyle name="Normal 3 18 7 2" xfId="6108"/>
    <cellStyle name="Normal 3 18 7 2 2" xfId="6109"/>
    <cellStyle name="Normal 3 18 7 3" xfId="6110"/>
    <cellStyle name="Normal 3 18 8" xfId="6111"/>
    <cellStyle name="Normal 3 18 8 2" xfId="6112"/>
    <cellStyle name="Normal 3 18 8 2 2" xfId="6113"/>
    <cellStyle name="Normal 3 18 8 3" xfId="6114"/>
    <cellStyle name="Normal 3 18 9" xfId="6115"/>
    <cellStyle name="Normal 3 18 9 2" xfId="6116"/>
    <cellStyle name="Normal 3 18 9 2 2" xfId="6117"/>
    <cellStyle name="Normal 3 18 9 3" xfId="6118"/>
    <cellStyle name="Normal 3 19" xfId="6119"/>
    <cellStyle name="Normal 3 19 10" xfId="6120"/>
    <cellStyle name="Normal 3 19 10 2" xfId="6121"/>
    <cellStyle name="Normal 3 19 10 2 2" xfId="6122"/>
    <cellStyle name="Normal 3 19 10 3" xfId="6123"/>
    <cellStyle name="Normal 3 19 11" xfId="6124"/>
    <cellStyle name="Normal 3 19 11 2" xfId="6125"/>
    <cellStyle name="Normal 3 19 11 2 2" xfId="6126"/>
    <cellStyle name="Normal 3 19 11 3" xfId="6127"/>
    <cellStyle name="Normal 3 19 12" xfId="6128"/>
    <cellStyle name="Normal 3 19 12 2" xfId="6129"/>
    <cellStyle name="Normal 3 19 12 2 2" xfId="6130"/>
    <cellStyle name="Normal 3 19 12 3" xfId="6131"/>
    <cellStyle name="Normal 3 19 13" xfId="6132"/>
    <cellStyle name="Normal 3 19 13 2" xfId="6133"/>
    <cellStyle name="Normal 3 19 13 2 2" xfId="6134"/>
    <cellStyle name="Normal 3 19 13 3" xfId="6135"/>
    <cellStyle name="Normal 3 19 14" xfId="6136"/>
    <cellStyle name="Normal 3 19 14 2" xfId="6137"/>
    <cellStyle name="Normal 3 19 14 2 2" xfId="6138"/>
    <cellStyle name="Normal 3 19 14 3" xfId="6139"/>
    <cellStyle name="Normal 3 19 15" xfId="6140"/>
    <cellStyle name="Normal 3 19 15 2" xfId="6141"/>
    <cellStyle name="Normal 3 19 15 2 2" xfId="6142"/>
    <cellStyle name="Normal 3 19 15 3" xfId="6143"/>
    <cellStyle name="Normal 3 19 16" xfId="6144"/>
    <cellStyle name="Normal 3 19 16 2" xfId="6145"/>
    <cellStyle name="Normal 3 19 16 2 2" xfId="6146"/>
    <cellStyle name="Normal 3 19 16 3" xfId="6147"/>
    <cellStyle name="Normal 3 19 17" xfId="6148"/>
    <cellStyle name="Normal 3 19 17 2" xfId="6149"/>
    <cellStyle name="Normal 3 19 17 2 2" xfId="6150"/>
    <cellStyle name="Normal 3 19 17 3" xfId="6151"/>
    <cellStyle name="Normal 3 19 18" xfId="6152"/>
    <cellStyle name="Normal 3 19 18 2" xfId="6153"/>
    <cellStyle name="Normal 3 19 18 2 2" xfId="6154"/>
    <cellStyle name="Normal 3 19 18 3" xfId="6155"/>
    <cellStyle name="Normal 3 19 19" xfId="6156"/>
    <cellStyle name="Normal 3 19 19 2" xfId="6157"/>
    <cellStyle name="Normal 3 19 19 2 2" xfId="6158"/>
    <cellStyle name="Normal 3 19 19 3" xfId="6159"/>
    <cellStyle name="Normal 3 19 2" xfId="6160"/>
    <cellStyle name="Normal 3 19 2 2" xfId="6161"/>
    <cellStyle name="Normal 3 19 2 2 2" xfId="6162"/>
    <cellStyle name="Normal 3 19 2 3" xfId="6163"/>
    <cellStyle name="Normal 3 19 20" xfId="6164"/>
    <cellStyle name="Normal 3 19 20 2" xfId="6165"/>
    <cellStyle name="Normal 3 19 20 2 2" xfId="6166"/>
    <cellStyle name="Normal 3 19 20 3" xfId="6167"/>
    <cellStyle name="Normal 3 19 21" xfId="6168"/>
    <cellStyle name="Normal 3 19 21 2" xfId="6169"/>
    <cellStyle name="Normal 3 19 21 2 2" xfId="6170"/>
    <cellStyle name="Normal 3 19 21 3" xfId="6171"/>
    <cellStyle name="Normal 3 19 22" xfId="6172"/>
    <cellStyle name="Normal 3 19 22 2" xfId="6173"/>
    <cellStyle name="Normal 3 19 22 2 2" xfId="6174"/>
    <cellStyle name="Normal 3 19 22 3" xfId="6175"/>
    <cellStyle name="Normal 3 19 23" xfId="6176"/>
    <cellStyle name="Normal 3 19 23 2" xfId="6177"/>
    <cellStyle name="Normal 3 19 23 2 2" xfId="6178"/>
    <cellStyle name="Normal 3 19 23 3" xfId="6179"/>
    <cellStyle name="Normal 3 19 24" xfId="6180"/>
    <cellStyle name="Normal 3 19 24 2" xfId="6181"/>
    <cellStyle name="Normal 3 19 25" xfId="6182"/>
    <cellStyle name="Normal 3 19 3" xfId="6183"/>
    <cellStyle name="Normal 3 19 3 2" xfId="6184"/>
    <cellStyle name="Normal 3 19 3 2 2" xfId="6185"/>
    <cellStyle name="Normal 3 19 3 3" xfId="6186"/>
    <cellStyle name="Normal 3 19 4" xfId="6187"/>
    <cellStyle name="Normal 3 19 4 2" xfId="6188"/>
    <cellStyle name="Normal 3 19 4 2 2" xfId="6189"/>
    <cellStyle name="Normal 3 19 4 3" xfId="6190"/>
    <cellStyle name="Normal 3 19 5" xfId="6191"/>
    <cellStyle name="Normal 3 19 5 2" xfId="6192"/>
    <cellStyle name="Normal 3 19 5 2 2" xfId="6193"/>
    <cellStyle name="Normal 3 19 5 3" xfId="6194"/>
    <cellStyle name="Normal 3 19 6" xfId="6195"/>
    <cellStyle name="Normal 3 19 6 2" xfId="6196"/>
    <cellStyle name="Normal 3 19 6 2 2" xfId="6197"/>
    <cellStyle name="Normal 3 19 6 3" xfId="6198"/>
    <cellStyle name="Normal 3 19 7" xfId="6199"/>
    <cellStyle name="Normal 3 19 7 2" xfId="6200"/>
    <cellStyle name="Normal 3 19 7 2 2" xfId="6201"/>
    <cellStyle name="Normal 3 19 7 3" xfId="6202"/>
    <cellStyle name="Normal 3 19 8" xfId="6203"/>
    <cellStyle name="Normal 3 19 8 2" xfId="6204"/>
    <cellStyle name="Normal 3 19 8 2 2" xfId="6205"/>
    <cellStyle name="Normal 3 19 8 3" xfId="6206"/>
    <cellStyle name="Normal 3 19 9" xfId="6207"/>
    <cellStyle name="Normal 3 19 9 2" xfId="6208"/>
    <cellStyle name="Normal 3 19 9 2 2" xfId="6209"/>
    <cellStyle name="Normal 3 19 9 3" xfId="6210"/>
    <cellStyle name="Normal 3 2" xfId="40"/>
    <cellStyle name="Normal 3 2 10" xfId="6211"/>
    <cellStyle name="Normal 3 2 10 2" xfId="6212"/>
    <cellStyle name="Normal 3 2 10 2 2" xfId="6213"/>
    <cellStyle name="Normal 3 2 10 3" xfId="6214"/>
    <cellStyle name="Normal 3 2 11" xfId="6215"/>
    <cellStyle name="Normal 3 2 11 2" xfId="6216"/>
    <cellStyle name="Normal 3 2 11 2 2" xfId="6217"/>
    <cellStyle name="Normal 3 2 11 3" xfId="6218"/>
    <cellStyle name="Normal 3 2 12" xfId="6219"/>
    <cellStyle name="Normal 3 2 12 2" xfId="6220"/>
    <cellStyle name="Normal 3 2 12 2 2" xfId="6221"/>
    <cellStyle name="Normal 3 2 12 3" xfId="6222"/>
    <cellStyle name="Normal 3 2 13" xfId="6223"/>
    <cellStyle name="Normal 3 2 13 2" xfId="6224"/>
    <cellStyle name="Normal 3 2 13 2 2" xfId="6225"/>
    <cellStyle name="Normal 3 2 13 3" xfId="6226"/>
    <cellStyle name="Normal 3 2 14" xfId="6227"/>
    <cellStyle name="Normal 3 2 14 2" xfId="6228"/>
    <cellStyle name="Normal 3 2 14 2 2" xfId="6229"/>
    <cellStyle name="Normal 3 2 14 3" xfId="6230"/>
    <cellStyle name="Normal 3 2 15" xfId="6231"/>
    <cellStyle name="Normal 3 2 15 2" xfId="6232"/>
    <cellStyle name="Normal 3 2 15 2 2" xfId="6233"/>
    <cellStyle name="Normal 3 2 15 3" xfId="6234"/>
    <cellStyle name="Normal 3 2 16" xfId="6235"/>
    <cellStyle name="Normal 3 2 16 2" xfId="6236"/>
    <cellStyle name="Normal 3 2 16 2 2" xfId="6237"/>
    <cellStyle name="Normal 3 2 16 3" xfId="6238"/>
    <cellStyle name="Normal 3 2 17" xfId="6239"/>
    <cellStyle name="Normal 3 2 17 2" xfId="6240"/>
    <cellStyle name="Normal 3 2 17 2 2" xfId="6241"/>
    <cellStyle name="Normal 3 2 17 3" xfId="6242"/>
    <cellStyle name="Normal 3 2 18" xfId="6243"/>
    <cellStyle name="Normal 3 2 18 2" xfId="6244"/>
    <cellStyle name="Normal 3 2 18 2 2" xfId="6245"/>
    <cellStyle name="Normal 3 2 18 3" xfId="6246"/>
    <cellStyle name="Normal 3 2 19" xfId="6247"/>
    <cellStyle name="Normal 3 2 19 2" xfId="6248"/>
    <cellStyle name="Normal 3 2 19 2 2" xfId="6249"/>
    <cellStyle name="Normal 3 2 19 3" xfId="6250"/>
    <cellStyle name="Normal 3 2 2" xfId="130"/>
    <cellStyle name="Normal 3 2 2 10" xfId="6251"/>
    <cellStyle name="Normal 3 2 2 10 2" xfId="6252"/>
    <cellStyle name="Normal 3 2 2 10 2 2" xfId="6253"/>
    <cellStyle name="Normal 3 2 2 10 3" xfId="6254"/>
    <cellStyle name="Normal 3 2 2 11" xfId="6255"/>
    <cellStyle name="Normal 3 2 2 11 2" xfId="6256"/>
    <cellStyle name="Normal 3 2 2 11 2 2" xfId="6257"/>
    <cellStyle name="Normal 3 2 2 11 3" xfId="6258"/>
    <cellStyle name="Normal 3 2 2 12" xfId="6259"/>
    <cellStyle name="Normal 3 2 2 12 2" xfId="6260"/>
    <cellStyle name="Normal 3 2 2 12 2 2" xfId="6261"/>
    <cellStyle name="Normal 3 2 2 12 3" xfId="6262"/>
    <cellStyle name="Normal 3 2 2 13" xfId="6263"/>
    <cellStyle name="Normal 3 2 2 13 2" xfId="6264"/>
    <cellStyle name="Normal 3 2 2 13 2 2" xfId="6265"/>
    <cellStyle name="Normal 3 2 2 13 3" xfId="6266"/>
    <cellStyle name="Normal 3 2 2 14" xfId="6267"/>
    <cellStyle name="Normal 3 2 2 14 2" xfId="6268"/>
    <cellStyle name="Normal 3 2 2 14 2 2" xfId="6269"/>
    <cellStyle name="Normal 3 2 2 14 3" xfId="6270"/>
    <cellStyle name="Normal 3 2 2 15" xfId="6271"/>
    <cellStyle name="Normal 3 2 2 15 2" xfId="6272"/>
    <cellStyle name="Normal 3 2 2 15 2 2" xfId="6273"/>
    <cellStyle name="Normal 3 2 2 15 3" xfId="6274"/>
    <cellStyle name="Normal 3 2 2 16" xfId="6275"/>
    <cellStyle name="Normal 3 2 2 16 2" xfId="6276"/>
    <cellStyle name="Normal 3 2 2 16 2 2" xfId="6277"/>
    <cellStyle name="Normal 3 2 2 16 3" xfId="6278"/>
    <cellStyle name="Normal 3 2 2 17" xfId="6279"/>
    <cellStyle name="Normal 3 2 2 17 2" xfId="6280"/>
    <cellStyle name="Normal 3 2 2 17 2 2" xfId="6281"/>
    <cellStyle name="Normal 3 2 2 17 3" xfId="6282"/>
    <cellStyle name="Normal 3 2 2 18" xfId="6283"/>
    <cellStyle name="Normal 3 2 2 18 2" xfId="6284"/>
    <cellStyle name="Normal 3 2 2 18 2 2" xfId="6285"/>
    <cellStyle name="Normal 3 2 2 18 3" xfId="6286"/>
    <cellStyle name="Normal 3 2 2 19" xfId="6287"/>
    <cellStyle name="Normal 3 2 2 19 2" xfId="6288"/>
    <cellStyle name="Normal 3 2 2 19 2 2" xfId="6289"/>
    <cellStyle name="Normal 3 2 2 19 3" xfId="6290"/>
    <cellStyle name="Normal 3 2 2 2" xfId="1063"/>
    <cellStyle name="Normal 3 2 2 2 2" xfId="6291"/>
    <cellStyle name="Normal 3 2 2 2 2 2" xfId="6292"/>
    <cellStyle name="Normal 3 2 2 2 3" xfId="6293"/>
    <cellStyle name="Normal 3 2 2 20" xfId="6294"/>
    <cellStyle name="Normal 3 2 2 20 2" xfId="6295"/>
    <cellStyle name="Normal 3 2 2 20 2 2" xfId="6296"/>
    <cellStyle name="Normal 3 2 2 20 3" xfId="6297"/>
    <cellStyle name="Normal 3 2 2 21" xfId="6298"/>
    <cellStyle name="Normal 3 2 2 21 2" xfId="6299"/>
    <cellStyle name="Normal 3 2 2 21 2 2" xfId="6300"/>
    <cellStyle name="Normal 3 2 2 21 3" xfId="6301"/>
    <cellStyle name="Normal 3 2 2 22" xfId="6302"/>
    <cellStyle name="Normal 3 2 2 22 2" xfId="6303"/>
    <cellStyle name="Normal 3 2 2 22 2 2" xfId="6304"/>
    <cellStyle name="Normal 3 2 2 22 3" xfId="6305"/>
    <cellStyle name="Normal 3 2 2 23" xfId="6306"/>
    <cellStyle name="Normal 3 2 2 23 2" xfId="6307"/>
    <cellStyle name="Normal 3 2 2 23 2 2" xfId="6308"/>
    <cellStyle name="Normal 3 2 2 23 3" xfId="6309"/>
    <cellStyle name="Normal 3 2 2 24" xfId="6310"/>
    <cellStyle name="Normal 3 2 2 24 2" xfId="6311"/>
    <cellStyle name="Normal 3 2 2 24 2 2" xfId="6312"/>
    <cellStyle name="Normal 3 2 2 24 3" xfId="6313"/>
    <cellStyle name="Normal 3 2 2 25" xfId="6314"/>
    <cellStyle name="Normal 3 2 2 25 2" xfId="6315"/>
    <cellStyle name="Normal 3 2 2 25 2 2" xfId="6316"/>
    <cellStyle name="Normal 3 2 2 25 3" xfId="6317"/>
    <cellStyle name="Normal 3 2 2 26" xfId="6318"/>
    <cellStyle name="Normal 3 2 2 26 2" xfId="6319"/>
    <cellStyle name="Normal 3 2 2 26 2 2" xfId="6320"/>
    <cellStyle name="Normal 3 2 2 26 3" xfId="6321"/>
    <cellStyle name="Normal 3 2 2 27" xfId="6322"/>
    <cellStyle name="Normal 3 2 2 27 2" xfId="6323"/>
    <cellStyle name="Normal 3 2 2 27 2 2" xfId="6324"/>
    <cellStyle name="Normal 3 2 2 27 3" xfId="6325"/>
    <cellStyle name="Normal 3 2 2 28" xfId="6326"/>
    <cellStyle name="Normal 3 2 2 28 2" xfId="6327"/>
    <cellStyle name="Normal 3 2 2 28 2 2" xfId="6328"/>
    <cellStyle name="Normal 3 2 2 28 3" xfId="6329"/>
    <cellStyle name="Normal 3 2 2 29" xfId="6330"/>
    <cellStyle name="Normal 3 2 2 29 2" xfId="6331"/>
    <cellStyle name="Normal 3 2 2 29 2 2" xfId="6332"/>
    <cellStyle name="Normal 3 2 2 29 3" xfId="6333"/>
    <cellStyle name="Normal 3 2 2 3" xfId="6334"/>
    <cellStyle name="Normal 3 2 2 3 2" xfId="6335"/>
    <cellStyle name="Normal 3 2 2 3 2 2" xfId="6336"/>
    <cellStyle name="Normal 3 2 2 3 3" xfId="6337"/>
    <cellStyle name="Normal 3 2 2 30" xfId="6338"/>
    <cellStyle name="Normal 3 2 2 30 2" xfId="6339"/>
    <cellStyle name="Normal 3 2 2 30 2 2" xfId="6340"/>
    <cellStyle name="Normal 3 2 2 30 3" xfId="6341"/>
    <cellStyle name="Normal 3 2 2 31" xfId="6342"/>
    <cellStyle name="Normal 3 2 2 31 2" xfId="6343"/>
    <cellStyle name="Normal 3 2 2 31 2 2" xfId="6344"/>
    <cellStyle name="Normal 3 2 2 31 3" xfId="6345"/>
    <cellStyle name="Normal 3 2 2 32" xfId="6346"/>
    <cellStyle name="Normal 3 2 2 32 2" xfId="6347"/>
    <cellStyle name="Normal 3 2 2 32 2 2" xfId="6348"/>
    <cellStyle name="Normal 3 2 2 32 3" xfId="6349"/>
    <cellStyle name="Normal 3 2 2 33" xfId="6350"/>
    <cellStyle name="Normal 3 2 2 33 2" xfId="6351"/>
    <cellStyle name="Normal 3 2 2 33 2 2" xfId="6352"/>
    <cellStyle name="Normal 3 2 2 33 3" xfId="6353"/>
    <cellStyle name="Normal 3 2 2 34" xfId="6354"/>
    <cellStyle name="Normal 3 2 2 34 2" xfId="6355"/>
    <cellStyle name="Normal 3 2 2 35" xfId="6356"/>
    <cellStyle name="Normal 3 2 2 4" xfId="6357"/>
    <cellStyle name="Normal 3 2 2 4 2" xfId="6358"/>
    <cellStyle name="Normal 3 2 2 4 2 2" xfId="6359"/>
    <cellStyle name="Normal 3 2 2 4 3" xfId="6360"/>
    <cellStyle name="Normal 3 2 2 5" xfId="6361"/>
    <cellStyle name="Normal 3 2 2 5 2" xfId="6362"/>
    <cellStyle name="Normal 3 2 2 5 2 2" xfId="6363"/>
    <cellStyle name="Normal 3 2 2 5 3" xfId="6364"/>
    <cellStyle name="Normal 3 2 2 6" xfId="6365"/>
    <cellStyle name="Normal 3 2 2 6 2" xfId="6366"/>
    <cellStyle name="Normal 3 2 2 6 2 2" xfId="6367"/>
    <cellStyle name="Normal 3 2 2 6 3" xfId="6368"/>
    <cellStyle name="Normal 3 2 2 7" xfId="6369"/>
    <cellStyle name="Normal 3 2 2 7 2" xfId="6370"/>
    <cellStyle name="Normal 3 2 2 7 2 2" xfId="6371"/>
    <cellStyle name="Normal 3 2 2 7 3" xfId="6372"/>
    <cellStyle name="Normal 3 2 2 8" xfId="6373"/>
    <cellStyle name="Normal 3 2 2 8 2" xfId="6374"/>
    <cellStyle name="Normal 3 2 2 8 2 2" xfId="6375"/>
    <cellStyle name="Normal 3 2 2 8 3" xfId="6376"/>
    <cellStyle name="Normal 3 2 2 9" xfId="6377"/>
    <cellStyle name="Normal 3 2 2 9 2" xfId="6378"/>
    <cellStyle name="Normal 3 2 2 9 2 2" xfId="6379"/>
    <cellStyle name="Normal 3 2 2 9 3" xfId="6380"/>
    <cellStyle name="Normal 3 2 20" xfId="6381"/>
    <cellStyle name="Normal 3 2 20 2" xfId="6382"/>
    <cellStyle name="Normal 3 2 20 2 2" xfId="6383"/>
    <cellStyle name="Normal 3 2 20 3" xfId="6384"/>
    <cellStyle name="Normal 3 2 21" xfId="6385"/>
    <cellStyle name="Normal 3 2 21 2" xfId="6386"/>
    <cellStyle name="Normal 3 2 21 2 2" xfId="6387"/>
    <cellStyle name="Normal 3 2 21 3" xfId="6388"/>
    <cellStyle name="Normal 3 2 22" xfId="6389"/>
    <cellStyle name="Normal 3 2 22 2" xfId="6390"/>
    <cellStyle name="Normal 3 2 22 2 2" xfId="6391"/>
    <cellStyle name="Normal 3 2 22 3" xfId="6392"/>
    <cellStyle name="Normal 3 2 23" xfId="6393"/>
    <cellStyle name="Normal 3 2 23 2" xfId="6394"/>
    <cellStyle name="Normal 3 2 23 2 2" xfId="6395"/>
    <cellStyle name="Normal 3 2 23 3" xfId="6396"/>
    <cellStyle name="Normal 3 2 24" xfId="6397"/>
    <cellStyle name="Normal 3 2 24 2" xfId="6398"/>
    <cellStyle name="Normal 3 2 24 2 2" xfId="6399"/>
    <cellStyle name="Normal 3 2 24 3" xfId="6400"/>
    <cellStyle name="Normal 3 2 25" xfId="6401"/>
    <cellStyle name="Normal 3 2 25 2" xfId="6402"/>
    <cellStyle name="Normal 3 2 25 2 2" xfId="6403"/>
    <cellStyle name="Normal 3 2 25 3" xfId="6404"/>
    <cellStyle name="Normal 3 2 26" xfId="6405"/>
    <cellStyle name="Normal 3 2 26 2" xfId="6406"/>
    <cellStyle name="Normal 3 2 26 2 2" xfId="6407"/>
    <cellStyle name="Normal 3 2 26 3" xfId="6408"/>
    <cellStyle name="Normal 3 2 27" xfId="6409"/>
    <cellStyle name="Normal 3 2 27 2" xfId="6410"/>
    <cellStyle name="Normal 3 2 27 2 2" xfId="6411"/>
    <cellStyle name="Normal 3 2 27 3" xfId="6412"/>
    <cellStyle name="Normal 3 2 28" xfId="6413"/>
    <cellStyle name="Normal 3 2 28 2" xfId="6414"/>
    <cellStyle name="Normal 3 2 28 2 2" xfId="6415"/>
    <cellStyle name="Normal 3 2 28 3" xfId="6416"/>
    <cellStyle name="Normal 3 2 29" xfId="6417"/>
    <cellStyle name="Normal 3 2 29 2" xfId="6418"/>
    <cellStyle name="Normal 3 2 29 2 2" xfId="6419"/>
    <cellStyle name="Normal 3 2 29 3" xfId="6420"/>
    <cellStyle name="Normal 3 2 3" xfId="74"/>
    <cellStyle name="Normal 3 2 3 2" xfId="6421"/>
    <cellStyle name="Normal 3 2 3 2 2" xfId="6422"/>
    <cellStyle name="Normal 3 2 3 3" xfId="6423"/>
    <cellStyle name="Normal 3 2 30" xfId="6424"/>
    <cellStyle name="Normal 3 2 30 2" xfId="6425"/>
    <cellStyle name="Normal 3 2 30 2 2" xfId="6426"/>
    <cellStyle name="Normal 3 2 30 3" xfId="6427"/>
    <cellStyle name="Normal 3 2 31" xfId="6428"/>
    <cellStyle name="Normal 3 2 31 2" xfId="6429"/>
    <cellStyle name="Normal 3 2 31 2 2" xfId="6430"/>
    <cellStyle name="Normal 3 2 31 3" xfId="6431"/>
    <cellStyle name="Normal 3 2 32" xfId="6432"/>
    <cellStyle name="Normal 3 2 32 2" xfId="6433"/>
    <cellStyle name="Normal 3 2 32 2 2" xfId="6434"/>
    <cellStyle name="Normal 3 2 32 3" xfId="6435"/>
    <cellStyle name="Normal 3 2 33" xfId="6436"/>
    <cellStyle name="Normal 3 2 33 2" xfId="6437"/>
    <cellStyle name="Normal 3 2 33 2 2" xfId="6438"/>
    <cellStyle name="Normal 3 2 33 3" xfId="6439"/>
    <cellStyle name="Normal 3 2 34" xfId="6440"/>
    <cellStyle name="Normal 3 2 34 2" xfId="6441"/>
    <cellStyle name="Normal 3 2 34 2 2" xfId="6442"/>
    <cellStyle name="Normal 3 2 34 3" xfId="6443"/>
    <cellStyle name="Normal 3 2 35" xfId="6444"/>
    <cellStyle name="Normal 3 2 35 2" xfId="6445"/>
    <cellStyle name="Normal 3 2 35 2 2" xfId="6446"/>
    <cellStyle name="Normal 3 2 35 3" xfId="6447"/>
    <cellStyle name="Normal 3 2 36" xfId="6448"/>
    <cellStyle name="Normal 3 2 36 2" xfId="6449"/>
    <cellStyle name="Normal 3 2 36 2 2" xfId="6450"/>
    <cellStyle name="Normal 3 2 36 3" xfId="6451"/>
    <cellStyle name="Normal 3 2 37" xfId="6452"/>
    <cellStyle name="Normal 3 2 37 2" xfId="6453"/>
    <cellStyle name="Normal 3 2 37 2 2" xfId="6454"/>
    <cellStyle name="Normal 3 2 37 3" xfId="6455"/>
    <cellStyle name="Normal 3 2 38" xfId="6456"/>
    <cellStyle name="Normal 3 2 38 2" xfId="6457"/>
    <cellStyle name="Normal 3 2 38 2 2" xfId="6458"/>
    <cellStyle name="Normal 3 2 38 3" xfId="6459"/>
    <cellStyle name="Normal 3 2 39" xfId="6460"/>
    <cellStyle name="Normal 3 2 39 2" xfId="6461"/>
    <cellStyle name="Normal 3 2 39 2 2" xfId="6462"/>
    <cellStyle name="Normal 3 2 39 3" xfId="6463"/>
    <cellStyle name="Normal 3 2 4" xfId="1064"/>
    <cellStyle name="Normal 3 2 4 2" xfId="6464"/>
    <cellStyle name="Normal 3 2 4 2 2" xfId="6465"/>
    <cellStyle name="Normal 3 2 4 3" xfId="6466"/>
    <cellStyle name="Normal 3 2 40" xfId="6467"/>
    <cellStyle name="Normal 3 2 40 2" xfId="6468"/>
    <cellStyle name="Normal 3 2 40 2 2" xfId="6469"/>
    <cellStyle name="Normal 3 2 40 3" xfId="6470"/>
    <cellStyle name="Normal 3 2 41" xfId="6471"/>
    <cellStyle name="Normal 3 2 41 2" xfId="6472"/>
    <cellStyle name="Normal 3 2 41 2 2" xfId="6473"/>
    <cellStyle name="Normal 3 2 41 3" xfId="6474"/>
    <cellStyle name="Normal 3 2 42" xfId="6475"/>
    <cellStyle name="Normal 3 2 42 2" xfId="6476"/>
    <cellStyle name="Normal 3 2 42 2 2" xfId="6477"/>
    <cellStyle name="Normal 3 2 42 3" xfId="6478"/>
    <cellStyle name="Normal 3 2 43" xfId="6479"/>
    <cellStyle name="Normal 3 2 43 2" xfId="6480"/>
    <cellStyle name="Normal 3 2 43 2 2" xfId="6481"/>
    <cellStyle name="Normal 3 2 43 3" xfId="6482"/>
    <cellStyle name="Normal 3 2 44" xfId="6483"/>
    <cellStyle name="Normal 3 2 44 2" xfId="6484"/>
    <cellStyle name="Normal 3 2 44 2 2" xfId="6485"/>
    <cellStyle name="Normal 3 2 44 3" xfId="6486"/>
    <cellStyle name="Normal 3 2 45" xfId="6487"/>
    <cellStyle name="Normal 3 2 45 2" xfId="6488"/>
    <cellStyle name="Normal 3 2 45 2 2" xfId="6489"/>
    <cellStyle name="Normal 3 2 45 3" xfId="6490"/>
    <cellStyle name="Normal 3 2 46" xfId="6491"/>
    <cellStyle name="Normal 3 2 46 2" xfId="6492"/>
    <cellStyle name="Normal 3 2 46 2 2" xfId="6493"/>
    <cellStyle name="Normal 3 2 46 3" xfId="6494"/>
    <cellStyle name="Normal 3 2 47" xfId="6495"/>
    <cellStyle name="Normal 3 2 47 2" xfId="6496"/>
    <cellStyle name="Normal 3 2 47 2 2" xfId="6497"/>
    <cellStyle name="Normal 3 2 47 3" xfId="6498"/>
    <cellStyle name="Normal 3 2 48" xfId="6499"/>
    <cellStyle name="Normal 3 2 48 2" xfId="6500"/>
    <cellStyle name="Normal 3 2 48 2 2" xfId="6501"/>
    <cellStyle name="Normal 3 2 48 3" xfId="6502"/>
    <cellStyle name="Normal 3 2 49" xfId="6503"/>
    <cellStyle name="Normal 3 2 49 2" xfId="6504"/>
    <cellStyle name="Normal 3 2 49 2 2" xfId="6505"/>
    <cellStyle name="Normal 3 2 49 3" xfId="6506"/>
    <cellStyle name="Normal 3 2 5" xfId="6507"/>
    <cellStyle name="Normal 3 2 5 2" xfId="6508"/>
    <cellStyle name="Normal 3 2 5 2 2" xfId="6509"/>
    <cellStyle name="Normal 3 2 5 3" xfId="6510"/>
    <cellStyle name="Normal 3 2 50" xfId="6511"/>
    <cellStyle name="Normal 3 2 50 2" xfId="6512"/>
    <cellStyle name="Normal 3 2 50 2 2" xfId="6513"/>
    <cellStyle name="Normal 3 2 50 3" xfId="6514"/>
    <cellStyle name="Normal 3 2 51" xfId="6515"/>
    <cellStyle name="Normal 3 2 51 2" xfId="6516"/>
    <cellStyle name="Normal 3 2 51 2 2" xfId="6517"/>
    <cellStyle name="Normal 3 2 51 3" xfId="6518"/>
    <cellStyle name="Normal 3 2 52" xfId="6519"/>
    <cellStyle name="Normal 3 2 52 2" xfId="6520"/>
    <cellStyle name="Normal 3 2 52 2 2" xfId="6521"/>
    <cellStyle name="Normal 3 2 52 3" xfId="6522"/>
    <cellStyle name="Normal 3 2 53" xfId="6523"/>
    <cellStyle name="Normal 3 2 53 2" xfId="6524"/>
    <cellStyle name="Normal 3 2 53 2 2" xfId="6525"/>
    <cellStyle name="Normal 3 2 53 3" xfId="6526"/>
    <cellStyle name="Normal 3 2 54" xfId="6527"/>
    <cellStyle name="Normal 3 2 54 2" xfId="6528"/>
    <cellStyle name="Normal 3 2 54 2 2" xfId="6529"/>
    <cellStyle name="Normal 3 2 54 3" xfId="6530"/>
    <cellStyle name="Normal 3 2 55" xfId="6531"/>
    <cellStyle name="Normal 3 2 55 2" xfId="6532"/>
    <cellStyle name="Normal 3 2 55 2 2" xfId="6533"/>
    <cellStyle name="Normal 3 2 55 3" xfId="6534"/>
    <cellStyle name="Normal 3 2 56" xfId="6535"/>
    <cellStyle name="Normal 3 2 57" xfId="6536"/>
    <cellStyle name="Normal 3 2 57 2" xfId="6537"/>
    <cellStyle name="Normal 3 2 58" xfId="6538"/>
    <cellStyle name="Normal 3 2 59" xfId="6539"/>
    <cellStyle name="Normal 3 2 6" xfId="6540"/>
    <cellStyle name="Normal 3 2 6 2" xfId="6541"/>
    <cellStyle name="Normal 3 2 6 2 2" xfId="6542"/>
    <cellStyle name="Normal 3 2 6 3" xfId="6543"/>
    <cellStyle name="Normal 3 2 60" xfId="6544"/>
    <cellStyle name="Normal 3 2 7" xfId="6545"/>
    <cellStyle name="Normal 3 2 7 2" xfId="6546"/>
    <cellStyle name="Normal 3 2 7 2 2" xfId="6547"/>
    <cellStyle name="Normal 3 2 7 3" xfId="6548"/>
    <cellStyle name="Normal 3 2 8" xfId="6549"/>
    <cellStyle name="Normal 3 2 8 2" xfId="6550"/>
    <cellStyle name="Normal 3 2 8 2 2" xfId="6551"/>
    <cellStyle name="Normal 3 2 8 3" xfId="6552"/>
    <cellStyle name="Normal 3 2 9" xfId="6553"/>
    <cellStyle name="Normal 3 2 9 2" xfId="6554"/>
    <cellStyle name="Normal 3 2 9 2 2" xfId="6555"/>
    <cellStyle name="Normal 3 2 9 3" xfId="6556"/>
    <cellStyle name="Normal 3 20" xfId="6557"/>
    <cellStyle name="Normal 3 20 10" xfId="6558"/>
    <cellStyle name="Normal 3 20 10 2" xfId="6559"/>
    <cellStyle name="Normal 3 20 10 2 2" xfId="6560"/>
    <cellStyle name="Normal 3 20 10 3" xfId="6561"/>
    <cellStyle name="Normal 3 20 11" xfId="6562"/>
    <cellStyle name="Normal 3 20 11 2" xfId="6563"/>
    <cellStyle name="Normal 3 20 11 2 2" xfId="6564"/>
    <cellStyle name="Normal 3 20 11 3" xfId="6565"/>
    <cellStyle name="Normal 3 20 12" xfId="6566"/>
    <cellStyle name="Normal 3 20 12 2" xfId="6567"/>
    <cellStyle name="Normal 3 20 12 2 2" xfId="6568"/>
    <cellStyle name="Normal 3 20 12 3" xfId="6569"/>
    <cellStyle name="Normal 3 20 13" xfId="6570"/>
    <cellStyle name="Normal 3 20 13 2" xfId="6571"/>
    <cellStyle name="Normal 3 20 13 2 2" xfId="6572"/>
    <cellStyle name="Normal 3 20 13 3" xfId="6573"/>
    <cellStyle name="Normal 3 20 14" xfId="6574"/>
    <cellStyle name="Normal 3 20 14 2" xfId="6575"/>
    <cellStyle name="Normal 3 20 14 2 2" xfId="6576"/>
    <cellStyle name="Normal 3 20 14 3" xfId="6577"/>
    <cellStyle name="Normal 3 20 15" xfId="6578"/>
    <cellStyle name="Normal 3 20 15 2" xfId="6579"/>
    <cellStyle name="Normal 3 20 15 2 2" xfId="6580"/>
    <cellStyle name="Normal 3 20 15 3" xfId="6581"/>
    <cellStyle name="Normal 3 20 16" xfId="6582"/>
    <cellStyle name="Normal 3 20 16 2" xfId="6583"/>
    <cellStyle name="Normal 3 20 16 2 2" xfId="6584"/>
    <cellStyle name="Normal 3 20 16 3" xfId="6585"/>
    <cellStyle name="Normal 3 20 17" xfId="6586"/>
    <cellStyle name="Normal 3 20 17 2" xfId="6587"/>
    <cellStyle name="Normal 3 20 17 2 2" xfId="6588"/>
    <cellStyle name="Normal 3 20 17 3" xfId="6589"/>
    <cellStyle name="Normal 3 20 18" xfId="6590"/>
    <cellStyle name="Normal 3 20 18 2" xfId="6591"/>
    <cellStyle name="Normal 3 20 18 2 2" xfId="6592"/>
    <cellStyle name="Normal 3 20 18 3" xfId="6593"/>
    <cellStyle name="Normal 3 20 19" xfId="6594"/>
    <cellStyle name="Normal 3 20 19 2" xfId="6595"/>
    <cellStyle name="Normal 3 20 19 2 2" xfId="6596"/>
    <cellStyle name="Normal 3 20 19 3" xfId="6597"/>
    <cellStyle name="Normal 3 20 2" xfId="6598"/>
    <cellStyle name="Normal 3 20 2 2" xfId="6599"/>
    <cellStyle name="Normal 3 20 2 2 2" xfId="6600"/>
    <cellStyle name="Normal 3 20 2 3" xfId="6601"/>
    <cellStyle name="Normal 3 20 20" xfId="6602"/>
    <cellStyle name="Normal 3 20 20 2" xfId="6603"/>
    <cellStyle name="Normal 3 20 20 2 2" xfId="6604"/>
    <cellStyle name="Normal 3 20 20 3" xfId="6605"/>
    <cellStyle name="Normal 3 20 21" xfId="6606"/>
    <cellStyle name="Normal 3 20 21 2" xfId="6607"/>
    <cellStyle name="Normal 3 20 21 2 2" xfId="6608"/>
    <cellStyle name="Normal 3 20 21 3" xfId="6609"/>
    <cellStyle name="Normal 3 20 22" xfId="6610"/>
    <cellStyle name="Normal 3 20 22 2" xfId="6611"/>
    <cellStyle name="Normal 3 20 22 2 2" xfId="6612"/>
    <cellStyle name="Normal 3 20 22 3" xfId="6613"/>
    <cellStyle name="Normal 3 20 23" xfId="6614"/>
    <cellStyle name="Normal 3 20 23 2" xfId="6615"/>
    <cellStyle name="Normal 3 20 23 2 2" xfId="6616"/>
    <cellStyle name="Normal 3 20 23 3" xfId="6617"/>
    <cellStyle name="Normal 3 20 24" xfId="6618"/>
    <cellStyle name="Normal 3 20 24 2" xfId="6619"/>
    <cellStyle name="Normal 3 20 25" xfId="6620"/>
    <cellStyle name="Normal 3 20 3" xfId="6621"/>
    <cellStyle name="Normal 3 20 3 2" xfId="6622"/>
    <cellStyle name="Normal 3 20 3 2 2" xfId="6623"/>
    <cellStyle name="Normal 3 20 3 3" xfId="6624"/>
    <cellStyle name="Normal 3 20 4" xfId="6625"/>
    <cellStyle name="Normal 3 20 4 2" xfId="6626"/>
    <cellStyle name="Normal 3 20 4 2 2" xfId="6627"/>
    <cellStyle name="Normal 3 20 4 3" xfId="6628"/>
    <cellStyle name="Normal 3 20 5" xfId="6629"/>
    <cellStyle name="Normal 3 20 5 2" xfId="6630"/>
    <cellStyle name="Normal 3 20 5 2 2" xfId="6631"/>
    <cellStyle name="Normal 3 20 5 3" xfId="6632"/>
    <cellStyle name="Normal 3 20 6" xfId="6633"/>
    <cellStyle name="Normal 3 20 6 2" xfId="6634"/>
    <cellStyle name="Normal 3 20 6 2 2" xfId="6635"/>
    <cellStyle name="Normal 3 20 6 3" xfId="6636"/>
    <cellStyle name="Normal 3 20 7" xfId="6637"/>
    <cellStyle name="Normal 3 20 7 2" xfId="6638"/>
    <cellStyle name="Normal 3 20 7 2 2" xfId="6639"/>
    <cellStyle name="Normal 3 20 7 3" xfId="6640"/>
    <cellStyle name="Normal 3 20 8" xfId="6641"/>
    <cellStyle name="Normal 3 20 8 2" xfId="6642"/>
    <cellStyle name="Normal 3 20 8 2 2" xfId="6643"/>
    <cellStyle name="Normal 3 20 8 3" xfId="6644"/>
    <cellStyle name="Normal 3 20 9" xfId="6645"/>
    <cellStyle name="Normal 3 20 9 2" xfId="6646"/>
    <cellStyle name="Normal 3 20 9 2 2" xfId="6647"/>
    <cellStyle name="Normal 3 20 9 3" xfId="6648"/>
    <cellStyle name="Normal 3 21" xfId="6649"/>
    <cellStyle name="Normal 3 21 10" xfId="6650"/>
    <cellStyle name="Normal 3 21 10 2" xfId="6651"/>
    <cellStyle name="Normal 3 21 10 2 2" xfId="6652"/>
    <cellStyle name="Normal 3 21 10 3" xfId="6653"/>
    <cellStyle name="Normal 3 21 11" xfId="6654"/>
    <cellStyle name="Normal 3 21 11 2" xfId="6655"/>
    <cellStyle name="Normal 3 21 11 2 2" xfId="6656"/>
    <cellStyle name="Normal 3 21 11 3" xfId="6657"/>
    <cellStyle name="Normal 3 21 12" xfId="6658"/>
    <cellStyle name="Normal 3 21 12 2" xfId="6659"/>
    <cellStyle name="Normal 3 21 12 2 2" xfId="6660"/>
    <cellStyle name="Normal 3 21 12 3" xfId="6661"/>
    <cellStyle name="Normal 3 21 13" xfId="6662"/>
    <cellStyle name="Normal 3 21 13 2" xfId="6663"/>
    <cellStyle name="Normal 3 21 13 2 2" xfId="6664"/>
    <cellStyle name="Normal 3 21 13 3" xfId="6665"/>
    <cellStyle name="Normal 3 21 14" xfId="6666"/>
    <cellStyle name="Normal 3 21 14 2" xfId="6667"/>
    <cellStyle name="Normal 3 21 14 2 2" xfId="6668"/>
    <cellStyle name="Normal 3 21 14 3" xfId="6669"/>
    <cellStyle name="Normal 3 21 15" xfId="6670"/>
    <cellStyle name="Normal 3 21 15 2" xfId="6671"/>
    <cellStyle name="Normal 3 21 15 2 2" xfId="6672"/>
    <cellStyle name="Normal 3 21 15 3" xfId="6673"/>
    <cellStyle name="Normal 3 21 16" xfId="6674"/>
    <cellStyle name="Normal 3 21 16 2" xfId="6675"/>
    <cellStyle name="Normal 3 21 16 2 2" xfId="6676"/>
    <cellStyle name="Normal 3 21 16 3" xfId="6677"/>
    <cellStyle name="Normal 3 21 17" xfId="6678"/>
    <cellStyle name="Normal 3 21 17 2" xfId="6679"/>
    <cellStyle name="Normal 3 21 17 2 2" xfId="6680"/>
    <cellStyle name="Normal 3 21 17 3" xfId="6681"/>
    <cellStyle name="Normal 3 21 18" xfId="6682"/>
    <cellStyle name="Normal 3 21 18 2" xfId="6683"/>
    <cellStyle name="Normal 3 21 18 2 2" xfId="6684"/>
    <cellStyle name="Normal 3 21 18 3" xfId="6685"/>
    <cellStyle name="Normal 3 21 19" xfId="6686"/>
    <cellStyle name="Normal 3 21 19 2" xfId="6687"/>
    <cellStyle name="Normal 3 21 19 2 2" xfId="6688"/>
    <cellStyle name="Normal 3 21 19 3" xfId="6689"/>
    <cellStyle name="Normal 3 21 2" xfId="6690"/>
    <cellStyle name="Normal 3 21 2 2" xfId="6691"/>
    <cellStyle name="Normal 3 21 2 2 2" xfId="6692"/>
    <cellStyle name="Normal 3 21 2 3" xfId="6693"/>
    <cellStyle name="Normal 3 21 20" xfId="6694"/>
    <cellStyle name="Normal 3 21 20 2" xfId="6695"/>
    <cellStyle name="Normal 3 21 20 2 2" xfId="6696"/>
    <cellStyle name="Normal 3 21 20 3" xfId="6697"/>
    <cellStyle name="Normal 3 21 21" xfId="6698"/>
    <cellStyle name="Normal 3 21 21 2" xfId="6699"/>
    <cellStyle name="Normal 3 21 21 2 2" xfId="6700"/>
    <cellStyle name="Normal 3 21 21 3" xfId="6701"/>
    <cellStyle name="Normal 3 21 22" xfId="6702"/>
    <cellStyle name="Normal 3 21 22 2" xfId="6703"/>
    <cellStyle name="Normal 3 21 22 2 2" xfId="6704"/>
    <cellStyle name="Normal 3 21 22 3" xfId="6705"/>
    <cellStyle name="Normal 3 21 23" xfId="6706"/>
    <cellStyle name="Normal 3 21 23 2" xfId="6707"/>
    <cellStyle name="Normal 3 21 23 2 2" xfId="6708"/>
    <cellStyle name="Normal 3 21 23 3" xfId="6709"/>
    <cellStyle name="Normal 3 21 24" xfId="6710"/>
    <cellStyle name="Normal 3 21 24 2" xfId="6711"/>
    <cellStyle name="Normal 3 21 25" xfId="6712"/>
    <cellStyle name="Normal 3 21 3" xfId="6713"/>
    <cellStyle name="Normal 3 21 3 2" xfId="6714"/>
    <cellStyle name="Normal 3 21 3 2 2" xfId="6715"/>
    <cellStyle name="Normal 3 21 3 3" xfId="6716"/>
    <cellStyle name="Normal 3 21 4" xfId="6717"/>
    <cellStyle name="Normal 3 21 4 2" xfId="6718"/>
    <cellStyle name="Normal 3 21 4 2 2" xfId="6719"/>
    <cellStyle name="Normal 3 21 4 3" xfId="6720"/>
    <cellStyle name="Normal 3 21 5" xfId="6721"/>
    <cellStyle name="Normal 3 21 5 2" xfId="6722"/>
    <cellStyle name="Normal 3 21 5 2 2" xfId="6723"/>
    <cellStyle name="Normal 3 21 5 3" xfId="6724"/>
    <cellStyle name="Normal 3 21 6" xfId="6725"/>
    <cellStyle name="Normal 3 21 6 2" xfId="6726"/>
    <cellStyle name="Normal 3 21 6 2 2" xfId="6727"/>
    <cellStyle name="Normal 3 21 6 3" xfId="6728"/>
    <cellStyle name="Normal 3 21 7" xfId="6729"/>
    <cellStyle name="Normal 3 21 7 2" xfId="6730"/>
    <cellStyle name="Normal 3 21 7 2 2" xfId="6731"/>
    <cellStyle name="Normal 3 21 7 3" xfId="6732"/>
    <cellStyle name="Normal 3 21 8" xfId="6733"/>
    <cellStyle name="Normal 3 21 8 2" xfId="6734"/>
    <cellStyle name="Normal 3 21 8 2 2" xfId="6735"/>
    <cellStyle name="Normal 3 21 8 3" xfId="6736"/>
    <cellStyle name="Normal 3 21 9" xfId="6737"/>
    <cellStyle name="Normal 3 21 9 2" xfId="6738"/>
    <cellStyle name="Normal 3 21 9 2 2" xfId="6739"/>
    <cellStyle name="Normal 3 21 9 3" xfId="6740"/>
    <cellStyle name="Normal 3 22" xfId="6741"/>
    <cellStyle name="Normal 3 22 10" xfId="6742"/>
    <cellStyle name="Normal 3 22 10 2" xfId="6743"/>
    <cellStyle name="Normal 3 22 10 2 2" xfId="6744"/>
    <cellStyle name="Normal 3 22 10 3" xfId="6745"/>
    <cellStyle name="Normal 3 22 11" xfId="6746"/>
    <cellStyle name="Normal 3 22 11 2" xfId="6747"/>
    <cellStyle name="Normal 3 22 11 2 2" xfId="6748"/>
    <cellStyle name="Normal 3 22 11 3" xfId="6749"/>
    <cellStyle name="Normal 3 22 12" xfId="6750"/>
    <cellStyle name="Normal 3 22 12 2" xfId="6751"/>
    <cellStyle name="Normal 3 22 12 2 2" xfId="6752"/>
    <cellStyle name="Normal 3 22 12 3" xfId="6753"/>
    <cellStyle name="Normal 3 22 13" xfId="6754"/>
    <cellStyle name="Normal 3 22 13 2" xfId="6755"/>
    <cellStyle name="Normal 3 22 13 2 2" xfId="6756"/>
    <cellStyle name="Normal 3 22 13 3" xfId="6757"/>
    <cellStyle name="Normal 3 22 14" xfId="6758"/>
    <cellStyle name="Normal 3 22 14 2" xfId="6759"/>
    <cellStyle name="Normal 3 22 14 2 2" xfId="6760"/>
    <cellStyle name="Normal 3 22 14 3" xfId="6761"/>
    <cellStyle name="Normal 3 22 15" xfId="6762"/>
    <cellStyle name="Normal 3 22 15 2" xfId="6763"/>
    <cellStyle name="Normal 3 22 15 2 2" xfId="6764"/>
    <cellStyle name="Normal 3 22 15 3" xfId="6765"/>
    <cellStyle name="Normal 3 22 16" xfId="6766"/>
    <cellStyle name="Normal 3 22 16 2" xfId="6767"/>
    <cellStyle name="Normal 3 22 16 2 2" xfId="6768"/>
    <cellStyle name="Normal 3 22 16 3" xfId="6769"/>
    <cellStyle name="Normal 3 22 17" xfId="6770"/>
    <cellStyle name="Normal 3 22 17 2" xfId="6771"/>
    <cellStyle name="Normal 3 22 17 2 2" xfId="6772"/>
    <cellStyle name="Normal 3 22 17 3" xfId="6773"/>
    <cellStyle name="Normal 3 22 18" xfId="6774"/>
    <cellStyle name="Normal 3 22 18 2" xfId="6775"/>
    <cellStyle name="Normal 3 22 18 2 2" xfId="6776"/>
    <cellStyle name="Normal 3 22 18 3" xfId="6777"/>
    <cellStyle name="Normal 3 22 19" xfId="6778"/>
    <cellStyle name="Normal 3 22 19 2" xfId="6779"/>
    <cellStyle name="Normal 3 22 19 2 2" xfId="6780"/>
    <cellStyle name="Normal 3 22 19 3" xfId="6781"/>
    <cellStyle name="Normal 3 22 2" xfId="6782"/>
    <cellStyle name="Normal 3 22 2 2" xfId="6783"/>
    <cellStyle name="Normal 3 22 2 2 2" xfId="6784"/>
    <cellStyle name="Normal 3 22 2 3" xfId="6785"/>
    <cellStyle name="Normal 3 22 20" xfId="6786"/>
    <cellStyle name="Normal 3 22 20 2" xfId="6787"/>
    <cellStyle name="Normal 3 22 20 2 2" xfId="6788"/>
    <cellStyle name="Normal 3 22 20 3" xfId="6789"/>
    <cellStyle name="Normal 3 22 21" xfId="6790"/>
    <cellStyle name="Normal 3 22 21 2" xfId="6791"/>
    <cellStyle name="Normal 3 22 21 2 2" xfId="6792"/>
    <cellStyle name="Normal 3 22 21 3" xfId="6793"/>
    <cellStyle name="Normal 3 22 22" xfId="6794"/>
    <cellStyle name="Normal 3 22 22 2" xfId="6795"/>
    <cellStyle name="Normal 3 22 22 2 2" xfId="6796"/>
    <cellStyle name="Normal 3 22 22 3" xfId="6797"/>
    <cellStyle name="Normal 3 22 23" xfId="6798"/>
    <cellStyle name="Normal 3 22 23 2" xfId="6799"/>
    <cellStyle name="Normal 3 22 23 2 2" xfId="6800"/>
    <cellStyle name="Normal 3 22 23 3" xfId="6801"/>
    <cellStyle name="Normal 3 22 24" xfId="6802"/>
    <cellStyle name="Normal 3 22 24 2" xfId="6803"/>
    <cellStyle name="Normal 3 22 25" xfId="6804"/>
    <cellStyle name="Normal 3 22 3" xfId="6805"/>
    <cellStyle name="Normal 3 22 3 2" xfId="6806"/>
    <cellStyle name="Normal 3 22 3 2 2" xfId="6807"/>
    <cellStyle name="Normal 3 22 3 3" xfId="6808"/>
    <cellStyle name="Normal 3 22 4" xfId="6809"/>
    <cellStyle name="Normal 3 22 4 2" xfId="6810"/>
    <cellStyle name="Normal 3 22 4 2 2" xfId="6811"/>
    <cellStyle name="Normal 3 22 4 3" xfId="6812"/>
    <cellStyle name="Normal 3 22 5" xfId="6813"/>
    <cellStyle name="Normal 3 22 5 2" xfId="6814"/>
    <cellStyle name="Normal 3 22 5 2 2" xfId="6815"/>
    <cellStyle name="Normal 3 22 5 3" xfId="6816"/>
    <cellStyle name="Normal 3 22 6" xfId="6817"/>
    <cellStyle name="Normal 3 22 6 2" xfId="6818"/>
    <cellStyle name="Normal 3 22 6 2 2" xfId="6819"/>
    <cellStyle name="Normal 3 22 6 3" xfId="6820"/>
    <cellStyle name="Normal 3 22 7" xfId="6821"/>
    <cellStyle name="Normal 3 22 7 2" xfId="6822"/>
    <cellStyle name="Normal 3 22 7 2 2" xfId="6823"/>
    <cellStyle name="Normal 3 22 7 3" xfId="6824"/>
    <cellStyle name="Normal 3 22 8" xfId="6825"/>
    <cellStyle name="Normal 3 22 8 2" xfId="6826"/>
    <cellStyle name="Normal 3 22 8 2 2" xfId="6827"/>
    <cellStyle name="Normal 3 22 8 3" xfId="6828"/>
    <cellStyle name="Normal 3 22 9" xfId="6829"/>
    <cellStyle name="Normal 3 22 9 2" xfId="6830"/>
    <cellStyle name="Normal 3 22 9 2 2" xfId="6831"/>
    <cellStyle name="Normal 3 22 9 3" xfId="6832"/>
    <cellStyle name="Normal 3 23" xfId="6833"/>
    <cellStyle name="Normal 3 23 10" xfId="6834"/>
    <cellStyle name="Normal 3 23 10 2" xfId="6835"/>
    <cellStyle name="Normal 3 23 10 2 2" xfId="6836"/>
    <cellStyle name="Normal 3 23 10 3" xfId="6837"/>
    <cellStyle name="Normal 3 23 11" xfId="6838"/>
    <cellStyle name="Normal 3 23 11 2" xfId="6839"/>
    <cellStyle name="Normal 3 23 11 2 2" xfId="6840"/>
    <cellStyle name="Normal 3 23 11 3" xfId="6841"/>
    <cellStyle name="Normal 3 23 12" xfId="6842"/>
    <cellStyle name="Normal 3 23 12 2" xfId="6843"/>
    <cellStyle name="Normal 3 23 12 2 2" xfId="6844"/>
    <cellStyle name="Normal 3 23 12 3" xfId="6845"/>
    <cellStyle name="Normal 3 23 13" xfId="6846"/>
    <cellStyle name="Normal 3 23 13 2" xfId="6847"/>
    <cellStyle name="Normal 3 23 13 2 2" xfId="6848"/>
    <cellStyle name="Normal 3 23 13 3" xfId="6849"/>
    <cellStyle name="Normal 3 23 14" xfId="6850"/>
    <cellStyle name="Normal 3 23 14 2" xfId="6851"/>
    <cellStyle name="Normal 3 23 14 2 2" xfId="6852"/>
    <cellStyle name="Normal 3 23 14 3" xfId="6853"/>
    <cellStyle name="Normal 3 23 15" xfId="6854"/>
    <cellStyle name="Normal 3 23 15 2" xfId="6855"/>
    <cellStyle name="Normal 3 23 15 2 2" xfId="6856"/>
    <cellStyle name="Normal 3 23 15 3" xfId="6857"/>
    <cellStyle name="Normal 3 23 16" xfId="6858"/>
    <cellStyle name="Normal 3 23 16 2" xfId="6859"/>
    <cellStyle name="Normal 3 23 16 2 2" xfId="6860"/>
    <cellStyle name="Normal 3 23 16 3" xfId="6861"/>
    <cellStyle name="Normal 3 23 17" xfId="6862"/>
    <cellStyle name="Normal 3 23 17 2" xfId="6863"/>
    <cellStyle name="Normal 3 23 17 2 2" xfId="6864"/>
    <cellStyle name="Normal 3 23 17 3" xfId="6865"/>
    <cellStyle name="Normal 3 23 18" xfId="6866"/>
    <cellStyle name="Normal 3 23 18 2" xfId="6867"/>
    <cellStyle name="Normal 3 23 18 2 2" xfId="6868"/>
    <cellStyle name="Normal 3 23 18 3" xfId="6869"/>
    <cellStyle name="Normal 3 23 19" xfId="6870"/>
    <cellStyle name="Normal 3 23 19 2" xfId="6871"/>
    <cellStyle name="Normal 3 23 19 2 2" xfId="6872"/>
    <cellStyle name="Normal 3 23 19 3" xfId="6873"/>
    <cellStyle name="Normal 3 23 2" xfId="6874"/>
    <cellStyle name="Normal 3 23 2 2" xfId="6875"/>
    <cellStyle name="Normal 3 23 2 2 2" xfId="6876"/>
    <cellStyle name="Normal 3 23 2 3" xfId="6877"/>
    <cellStyle name="Normal 3 23 20" xfId="6878"/>
    <cellStyle name="Normal 3 23 20 2" xfId="6879"/>
    <cellStyle name="Normal 3 23 20 2 2" xfId="6880"/>
    <cellStyle name="Normal 3 23 20 3" xfId="6881"/>
    <cellStyle name="Normal 3 23 21" xfId="6882"/>
    <cellStyle name="Normal 3 23 21 2" xfId="6883"/>
    <cellStyle name="Normal 3 23 21 2 2" xfId="6884"/>
    <cellStyle name="Normal 3 23 21 3" xfId="6885"/>
    <cellStyle name="Normal 3 23 22" xfId="6886"/>
    <cellStyle name="Normal 3 23 22 2" xfId="6887"/>
    <cellStyle name="Normal 3 23 22 2 2" xfId="6888"/>
    <cellStyle name="Normal 3 23 22 3" xfId="6889"/>
    <cellStyle name="Normal 3 23 23" xfId="6890"/>
    <cellStyle name="Normal 3 23 23 2" xfId="6891"/>
    <cellStyle name="Normal 3 23 23 2 2" xfId="6892"/>
    <cellStyle name="Normal 3 23 23 3" xfId="6893"/>
    <cellStyle name="Normal 3 23 24" xfId="6894"/>
    <cellStyle name="Normal 3 23 24 2" xfId="6895"/>
    <cellStyle name="Normal 3 23 25" xfId="6896"/>
    <cellStyle name="Normal 3 23 3" xfId="6897"/>
    <cellStyle name="Normal 3 23 3 2" xfId="6898"/>
    <cellStyle name="Normal 3 23 3 2 2" xfId="6899"/>
    <cellStyle name="Normal 3 23 3 3" xfId="6900"/>
    <cellStyle name="Normal 3 23 4" xfId="6901"/>
    <cellStyle name="Normal 3 23 4 2" xfId="6902"/>
    <cellStyle name="Normal 3 23 4 2 2" xfId="6903"/>
    <cellStyle name="Normal 3 23 4 3" xfId="6904"/>
    <cellStyle name="Normal 3 23 5" xfId="6905"/>
    <cellStyle name="Normal 3 23 5 2" xfId="6906"/>
    <cellStyle name="Normal 3 23 5 2 2" xfId="6907"/>
    <cellStyle name="Normal 3 23 5 3" xfId="6908"/>
    <cellStyle name="Normal 3 23 6" xfId="6909"/>
    <cellStyle name="Normal 3 23 6 2" xfId="6910"/>
    <cellStyle name="Normal 3 23 6 2 2" xfId="6911"/>
    <cellStyle name="Normal 3 23 6 3" xfId="6912"/>
    <cellStyle name="Normal 3 23 7" xfId="6913"/>
    <cellStyle name="Normal 3 23 7 2" xfId="6914"/>
    <cellStyle name="Normal 3 23 7 2 2" xfId="6915"/>
    <cellStyle name="Normal 3 23 7 3" xfId="6916"/>
    <cellStyle name="Normal 3 23 8" xfId="6917"/>
    <cellStyle name="Normal 3 23 8 2" xfId="6918"/>
    <cellStyle name="Normal 3 23 8 2 2" xfId="6919"/>
    <cellStyle name="Normal 3 23 8 3" xfId="6920"/>
    <cellStyle name="Normal 3 23 9" xfId="6921"/>
    <cellStyle name="Normal 3 23 9 2" xfId="6922"/>
    <cellStyle name="Normal 3 23 9 2 2" xfId="6923"/>
    <cellStyle name="Normal 3 23 9 3" xfId="6924"/>
    <cellStyle name="Normal 3 24" xfId="6925"/>
    <cellStyle name="Normal 3 24 10" xfId="6926"/>
    <cellStyle name="Normal 3 24 10 2" xfId="6927"/>
    <cellStyle name="Normal 3 24 10 2 2" xfId="6928"/>
    <cellStyle name="Normal 3 24 10 3" xfId="6929"/>
    <cellStyle name="Normal 3 24 11" xfId="6930"/>
    <cellStyle name="Normal 3 24 11 2" xfId="6931"/>
    <cellStyle name="Normal 3 24 11 2 2" xfId="6932"/>
    <cellStyle name="Normal 3 24 11 3" xfId="6933"/>
    <cellStyle name="Normal 3 24 12" xfId="6934"/>
    <cellStyle name="Normal 3 24 12 2" xfId="6935"/>
    <cellStyle name="Normal 3 24 12 2 2" xfId="6936"/>
    <cellStyle name="Normal 3 24 12 3" xfId="6937"/>
    <cellStyle name="Normal 3 24 13" xfId="6938"/>
    <cellStyle name="Normal 3 24 13 2" xfId="6939"/>
    <cellStyle name="Normal 3 24 13 2 2" xfId="6940"/>
    <cellStyle name="Normal 3 24 13 3" xfId="6941"/>
    <cellStyle name="Normal 3 24 14" xfId="6942"/>
    <cellStyle name="Normal 3 24 14 2" xfId="6943"/>
    <cellStyle name="Normal 3 24 14 2 2" xfId="6944"/>
    <cellStyle name="Normal 3 24 14 3" xfId="6945"/>
    <cellStyle name="Normal 3 24 15" xfId="6946"/>
    <cellStyle name="Normal 3 24 15 2" xfId="6947"/>
    <cellStyle name="Normal 3 24 15 2 2" xfId="6948"/>
    <cellStyle name="Normal 3 24 15 3" xfId="6949"/>
    <cellStyle name="Normal 3 24 16" xfId="6950"/>
    <cellStyle name="Normal 3 24 16 2" xfId="6951"/>
    <cellStyle name="Normal 3 24 16 2 2" xfId="6952"/>
    <cellStyle name="Normal 3 24 16 3" xfId="6953"/>
    <cellStyle name="Normal 3 24 17" xfId="6954"/>
    <cellStyle name="Normal 3 24 17 2" xfId="6955"/>
    <cellStyle name="Normal 3 24 17 2 2" xfId="6956"/>
    <cellStyle name="Normal 3 24 17 3" xfId="6957"/>
    <cellStyle name="Normal 3 24 18" xfId="6958"/>
    <cellStyle name="Normal 3 24 18 2" xfId="6959"/>
    <cellStyle name="Normal 3 24 18 2 2" xfId="6960"/>
    <cellStyle name="Normal 3 24 18 3" xfId="6961"/>
    <cellStyle name="Normal 3 24 19" xfId="6962"/>
    <cellStyle name="Normal 3 24 19 2" xfId="6963"/>
    <cellStyle name="Normal 3 24 19 2 2" xfId="6964"/>
    <cellStyle name="Normal 3 24 19 3" xfId="6965"/>
    <cellStyle name="Normal 3 24 2" xfId="6966"/>
    <cellStyle name="Normal 3 24 2 2" xfId="6967"/>
    <cellStyle name="Normal 3 24 2 2 2" xfId="6968"/>
    <cellStyle name="Normal 3 24 2 3" xfId="6969"/>
    <cellStyle name="Normal 3 24 20" xfId="6970"/>
    <cellStyle name="Normal 3 24 20 2" xfId="6971"/>
    <cellStyle name="Normal 3 24 20 2 2" xfId="6972"/>
    <cellStyle name="Normal 3 24 20 3" xfId="6973"/>
    <cellStyle name="Normal 3 24 21" xfId="6974"/>
    <cellStyle name="Normal 3 24 21 2" xfId="6975"/>
    <cellStyle name="Normal 3 24 21 2 2" xfId="6976"/>
    <cellStyle name="Normal 3 24 21 3" xfId="6977"/>
    <cellStyle name="Normal 3 24 22" xfId="6978"/>
    <cellStyle name="Normal 3 24 22 2" xfId="6979"/>
    <cellStyle name="Normal 3 24 22 2 2" xfId="6980"/>
    <cellStyle name="Normal 3 24 22 3" xfId="6981"/>
    <cellStyle name="Normal 3 24 23" xfId="6982"/>
    <cellStyle name="Normal 3 24 23 2" xfId="6983"/>
    <cellStyle name="Normal 3 24 23 2 2" xfId="6984"/>
    <cellStyle name="Normal 3 24 23 3" xfId="6985"/>
    <cellStyle name="Normal 3 24 24" xfId="6986"/>
    <cellStyle name="Normal 3 24 24 2" xfId="6987"/>
    <cellStyle name="Normal 3 24 25" xfId="6988"/>
    <cellStyle name="Normal 3 24 3" xfId="6989"/>
    <cellStyle name="Normal 3 24 3 2" xfId="6990"/>
    <cellStyle name="Normal 3 24 3 2 2" xfId="6991"/>
    <cellStyle name="Normal 3 24 3 3" xfId="6992"/>
    <cellStyle name="Normal 3 24 4" xfId="6993"/>
    <cellStyle name="Normal 3 24 4 2" xfId="6994"/>
    <cellStyle name="Normal 3 24 4 2 2" xfId="6995"/>
    <cellStyle name="Normal 3 24 4 3" xfId="6996"/>
    <cellStyle name="Normal 3 24 5" xfId="6997"/>
    <cellStyle name="Normal 3 24 5 2" xfId="6998"/>
    <cellStyle name="Normal 3 24 5 2 2" xfId="6999"/>
    <cellStyle name="Normal 3 24 5 3" xfId="7000"/>
    <cellStyle name="Normal 3 24 6" xfId="7001"/>
    <cellStyle name="Normal 3 24 6 2" xfId="7002"/>
    <cellStyle name="Normal 3 24 6 2 2" xfId="7003"/>
    <cellStyle name="Normal 3 24 6 3" xfId="7004"/>
    <cellStyle name="Normal 3 24 7" xfId="7005"/>
    <cellStyle name="Normal 3 24 7 2" xfId="7006"/>
    <cellStyle name="Normal 3 24 7 2 2" xfId="7007"/>
    <cellStyle name="Normal 3 24 7 3" xfId="7008"/>
    <cellStyle name="Normal 3 24 8" xfId="7009"/>
    <cellStyle name="Normal 3 24 8 2" xfId="7010"/>
    <cellStyle name="Normal 3 24 8 2 2" xfId="7011"/>
    <cellStyle name="Normal 3 24 8 3" xfId="7012"/>
    <cellStyle name="Normal 3 24 9" xfId="7013"/>
    <cellStyle name="Normal 3 24 9 2" xfId="7014"/>
    <cellStyle name="Normal 3 24 9 2 2" xfId="7015"/>
    <cellStyle name="Normal 3 24 9 3" xfId="7016"/>
    <cellStyle name="Normal 3 25" xfId="7017"/>
    <cellStyle name="Normal 3 25 10" xfId="7018"/>
    <cellStyle name="Normal 3 25 10 2" xfId="7019"/>
    <cellStyle name="Normal 3 25 10 2 2" xfId="7020"/>
    <cellStyle name="Normal 3 25 10 3" xfId="7021"/>
    <cellStyle name="Normal 3 25 11" xfId="7022"/>
    <cellStyle name="Normal 3 25 11 2" xfId="7023"/>
    <cellStyle name="Normal 3 25 11 2 2" xfId="7024"/>
    <cellStyle name="Normal 3 25 11 3" xfId="7025"/>
    <cellStyle name="Normal 3 25 12" xfId="7026"/>
    <cellStyle name="Normal 3 25 12 2" xfId="7027"/>
    <cellStyle name="Normal 3 25 12 2 2" xfId="7028"/>
    <cellStyle name="Normal 3 25 12 3" xfId="7029"/>
    <cellStyle name="Normal 3 25 13" xfId="7030"/>
    <cellStyle name="Normal 3 25 13 2" xfId="7031"/>
    <cellStyle name="Normal 3 25 13 2 2" xfId="7032"/>
    <cellStyle name="Normal 3 25 13 3" xfId="7033"/>
    <cellStyle name="Normal 3 25 14" xfId="7034"/>
    <cellStyle name="Normal 3 25 14 2" xfId="7035"/>
    <cellStyle name="Normal 3 25 14 2 2" xfId="7036"/>
    <cellStyle name="Normal 3 25 14 3" xfId="7037"/>
    <cellStyle name="Normal 3 25 15" xfId="7038"/>
    <cellStyle name="Normal 3 25 15 2" xfId="7039"/>
    <cellStyle name="Normal 3 25 15 2 2" xfId="7040"/>
    <cellStyle name="Normal 3 25 15 3" xfId="7041"/>
    <cellStyle name="Normal 3 25 16" xfId="7042"/>
    <cellStyle name="Normal 3 25 16 2" xfId="7043"/>
    <cellStyle name="Normal 3 25 16 2 2" xfId="7044"/>
    <cellStyle name="Normal 3 25 16 3" xfId="7045"/>
    <cellStyle name="Normal 3 25 17" xfId="7046"/>
    <cellStyle name="Normal 3 25 17 2" xfId="7047"/>
    <cellStyle name="Normal 3 25 17 2 2" xfId="7048"/>
    <cellStyle name="Normal 3 25 17 3" xfId="7049"/>
    <cellStyle name="Normal 3 25 18" xfId="7050"/>
    <cellStyle name="Normal 3 25 18 2" xfId="7051"/>
    <cellStyle name="Normal 3 25 18 2 2" xfId="7052"/>
    <cellStyle name="Normal 3 25 18 3" xfId="7053"/>
    <cellStyle name="Normal 3 25 19" xfId="7054"/>
    <cellStyle name="Normal 3 25 19 2" xfId="7055"/>
    <cellStyle name="Normal 3 25 19 2 2" xfId="7056"/>
    <cellStyle name="Normal 3 25 19 3" xfId="7057"/>
    <cellStyle name="Normal 3 25 2" xfId="7058"/>
    <cellStyle name="Normal 3 25 2 2" xfId="7059"/>
    <cellStyle name="Normal 3 25 2 2 2" xfId="7060"/>
    <cellStyle name="Normal 3 25 2 3" xfId="7061"/>
    <cellStyle name="Normal 3 25 20" xfId="7062"/>
    <cellStyle name="Normal 3 25 20 2" xfId="7063"/>
    <cellStyle name="Normal 3 25 20 2 2" xfId="7064"/>
    <cellStyle name="Normal 3 25 20 3" xfId="7065"/>
    <cellStyle name="Normal 3 25 21" xfId="7066"/>
    <cellStyle name="Normal 3 25 21 2" xfId="7067"/>
    <cellStyle name="Normal 3 25 21 2 2" xfId="7068"/>
    <cellStyle name="Normal 3 25 21 3" xfId="7069"/>
    <cellStyle name="Normal 3 25 22" xfId="7070"/>
    <cellStyle name="Normal 3 25 22 2" xfId="7071"/>
    <cellStyle name="Normal 3 25 22 2 2" xfId="7072"/>
    <cellStyle name="Normal 3 25 22 3" xfId="7073"/>
    <cellStyle name="Normal 3 25 23" xfId="7074"/>
    <cellStyle name="Normal 3 25 23 2" xfId="7075"/>
    <cellStyle name="Normal 3 25 23 2 2" xfId="7076"/>
    <cellStyle name="Normal 3 25 23 3" xfId="7077"/>
    <cellStyle name="Normal 3 25 24" xfId="7078"/>
    <cellStyle name="Normal 3 25 24 2" xfId="7079"/>
    <cellStyle name="Normal 3 25 25" xfId="7080"/>
    <cellStyle name="Normal 3 25 3" xfId="7081"/>
    <cellStyle name="Normal 3 25 3 2" xfId="7082"/>
    <cellStyle name="Normal 3 25 3 2 2" xfId="7083"/>
    <cellStyle name="Normal 3 25 3 3" xfId="7084"/>
    <cellStyle name="Normal 3 25 4" xfId="7085"/>
    <cellStyle name="Normal 3 25 4 2" xfId="7086"/>
    <cellStyle name="Normal 3 25 4 2 2" xfId="7087"/>
    <cellStyle name="Normal 3 25 4 3" xfId="7088"/>
    <cellStyle name="Normal 3 25 5" xfId="7089"/>
    <cellStyle name="Normal 3 25 5 2" xfId="7090"/>
    <cellStyle name="Normal 3 25 5 2 2" xfId="7091"/>
    <cellStyle name="Normal 3 25 5 3" xfId="7092"/>
    <cellStyle name="Normal 3 25 6" xfId="7093"/>
    <cellStyle name="Normal 3 25 6 2" xfId="7094"/>
    <cellStyle name="Normal 3 25 6 2 2" xfId="7095"/>
    <cellStyle name="Normal 3 25 6 3" xfId="7096"/>
    <cellStyle name="Normal 3 25 7" xfId="7097"/>
    <cellStyle name="Normal 3 25 7 2" xfId="7098"/>
    <cellStyle name="Normal 3 25 7 2 2" xfId="7099"/>
    <cellStyle name="Normal 3 25 7 3" xfId="7100"/>
    <cellStyle name="Normal 3 25 8" xfId="7101"/>
    <cellStyle name="Normal 3 25 8 2" xfId="7102"/>
    <cellStyle name="Normal 3 25 8 2 2" xfId="7103"/>
    <cellStyle name="Normal 3 25 8 3" xfId="7104"/>
    <cellStyle name="Normal 3 25 9" xfId="7105"/>
    <cellStyle name="Normal 3 25 9 2" xfId="7106"/>
    <cellStyle name="Normal 3 25 9 2 2" xfId="7107"/>
    <cellStyle name="Normal 3 25 9 3" xfId="7108"/>
    <cellStyle name="Normal 3 26" xfId="7109"/>
    <cellStyle name="Normal 3 26 10" xfId="7110"/>
    <cellStyle name="Normal 3 26 10 2" xfId="7111"/>
    <cellStyle name="Normal 3 26 10 2 2" xfId="7112"/>
    <cellStyle name="Normal 3 26 10 3" xfId="7113"/>
    <cellStyle name="Normal 3 26 11" xfId="7114"/>
    <cellStyle name="Normal 3 26 11 2" xfId="7115"/>
    <cellStyle name="Normal 3 26 11 2 2" xfId="7116"/>
    <cellStyle name="Normal 3 26 11 3" xfId="7117"/>
    <cellStyle name="Normal 3 26 12" xfId="7118"/>
    <cellStyle name="Normal 3 26 12 2" xfId="7119"/>
    <cellStyle name="Normal 3 26 12 2 2" xfId="7120"/>
    <cellStyle name="Normal 3 26 12 3" xfId="7121"/>
    <cellStyle name="Normal 3 26 13" xfId="7122"/>
    <cellStyle name="Normal 3 26 13 2" xfId="7123"/>
    <cellStyle name="Normal 3 26 13 2 2" xfId="7124"/>
    <cellStyle name="Normal 3 26 13 3" xfId="7125"/>
    <cellStyle name="Normal 3 26 14" xfId="7126"/>
    <cellStyle name="Normal 3 26 14 2" xfId="7127"/>
    <cellStyle name="Normal 3 26 14 2 2" xfId="7128"/>
    <cellStyle name="Normal 3 26 14 3" xfId="7129"/>
    <cellStyle name="Normal 3 26 15" xfId="7130"/>
    <cellStyle name="Normal 3 26 15 2" xfId="7131"/>
    <cellStyle name="Normal 3 26 15 2 2" xfId="7132"/>
    <cellStyle name="Normal 3 26 15 3" xfId="7133"/>
    <cellStyle name="Normal 3 26 16" xfId="7134"/>
    <cellStyle name="Normal 3 26 16 2" xfId="7135"/>
    <cellStyle name="Normal 3 26 16 2 2" xfId="7136"/>
    <cellStyle name="Normal 3 26 16 3" xfId="7137"/>
    <cellStyle name="Normal 3 26 17" xfId="7138"/>
    <cellStyle name="Normal 3 26 17 2" xfId="7139"/>
    <cellStyle name="Normal 3 26 17 2 2" xfId="7140"/>
    <cellStyle name="Normal 3 26 17 3" xfId="7141"/>
    <cellStyle name="Normal 3 26 18" xfId="7142"/>
    <cellStyle name="Normal 3 26 18 2" xfId="7143"/>
    <cellStyle name="Normal 3 26 18 2 2" xfId="7144"/>
    <cellStyle name="Normal 3 26 18 3" xfId="7145"/>
    <cellStyle name="Normal 3 26 19" xfId="7146"/>
    <cellStyle name="Normal 3 26 19 2" xfId="7147"/>
    <cellStyle name="Normal 3 26 19 2 2" xfId="7148"/>
    <cellStyle name="Normal 3 26 19 3" xfId="7149"/>
    <cellStyle name="Normal 3 26 2" xfId="7150"/>
    <cellStyle name="Normal 3 26 2 2" xfId="7151"/>
    <cellStyle name="Normal 3 26 2 2 2" xfId="7152"/>
    <cellStyle name="Normal 3 26 2 3" xfId="7153"/>
    <cellStyle name="Normal 3 26 20" xfId="7154"/>
    <cellStyle name="Normal 3 26 20 2" xfId="7155"/>
    <cellStyle name="Normal 3 26 20 2 2" xfId="7156"/>
    <cellStyle name="Normal 3 26 20 3" xfId="7157"/>
    <cellStyle name="Normal 3 26 21" xfId="7158"/>
    <cellStyle name="Normal 3 26 21 2" xfId="7159"/>
    <cellStyle name="Normal 3 26 21 2 2" xfId="7160"/>
    <cellStyle name="Normal 3 26 21 3" xfId="7161"/>
    <cellStyle name="Normal 3 26 22" xfId="7162"/>
    <cellStyle name="Normal 3 26 22 2" xfId="7163"/>
    <cellStyle name="Normal 3 26 22 2 2" xfId="7164"/>
    <cellStyle name="Normal 3 26 22 3" xfId="7165"/>
    <cellStyle name="Normal 3 26 23" xfId="7166"/>
    <cellStyle name="Normal 3 26 23 2" xfId="7167"/>
    <cellStyle name="Normal 3 26 23 2 2" xfId="7168"/>
    <cellStyle name="Normal 3 26 23 3" xfId="7169"/>
    <cellStyle name="Normal 3 26 24" xfId="7170"/>
    <cellStyle name="Normal 3 26 24 2" xfId="7171"/>
    <cellStyle name="Normal 3 26 25" xfId="7172"/>
    <cellStyle name="Normal 3 26 3" xfId="7173"/>
    <cellStyle name="Normal 3 26 3 2" xfId="7174"/>
    <cellStyle name="Normal 3 26 3 2 2" xfId="7175"/>
    <cellStyle name="Normal 3 26 3 3" xfId="7176"/>
    <cellStyle name="Normal 3 26 4" xfId="7177"/>
    <cellStyle name="Normal 3 26 4 2" xfId="7178"/>
    <cellStyle name="Normal 3 26 4 2 2" xfId="7179"/>
    <cellStyle name="Normal 3 26 4 3" xfId="7180"/>
    <cellStyle name="Normal 3 26 5" xfId="7181"/>
    <cellStyle name="Normal 3 26 5 2" xfId="7182"/>
    <cellStyle name="Normal 3 26 5 2 2" xfId="7183"/>
    <cellStyle name="Normal 3 26 5 3" xfId="7184"/>
    <cellStyle name="Normal 3 26 6" xfId="7185"/>
    <cellStyle name="Normal 3 26 6 2" xfId="7186"/>
    <cellStyle name="Normal 3 26 6 2 2" xfId="7187"/>
    <cellStyle name="Normal 3 26 6 3" xfId="7188"/>
    <cellStyle name="Normal 3 26 7" xfId="7189"/>
    <cellStyle name="Normal 3 26 7 2" xfId="7190"/>
    <cellStyle name="Normal 3 26 7 2 2" xfId="7191"/>
    <cellStyle name="Normal 3 26 7 3" xfId="7192"/>
    <cellStyle name="Normal 3 26 8" xfId="7193"/>
    <cellStyle name="Normal 3 26 8 2" xfId="7194"/>
    <cellStyle name="Normal 3 26 8 2 2" xfId="7195"/>
    <cellStyle name="Normal 3 26 8 3" xfId="7196"/>
    <cellStyle name="Normal 3 26 9" xfId="7197"/>
    <cellStyle name="Normal 3 26 9 2" xfId="7198"/>
    <cellStyle name="Normal 3 26 9 2 2" xfId="7199"/>
    <cellStyle name="Normal 3 26 9 3" xfId="7200"/>
    <cellStyle name="Normal 3 27" xfId="7201"/>
    <cellStyle name="Normal 3 27 10" xfId="7202"/>
    <cellStyle name="Normal 3 27 10 2" xfId="7203"/>
    <cellStyle name="Normal 3 27 10 2 2" xfId="7204"/>
    <cellStyle name="Normal 3 27 10 3" xfId="7205"/>
    <cellStyle name="Normal 3 27 11" xfId="7206"/>
    <cellStyle name="Normal 3 27 11 2" xfId="7207"/>
    <cellStyle name="Normal 3 27 11 2 2" xfId="7208"/>
    <cellStyle name="Normal 3 27 11 3" xfId="7209"/>
    <cellStyle name="Normal 3 27 12" xfId="7210"/>
    <cellStyle name="Normal 3 27 12 2" xfId="7211"/>
    <cellStyle name="Normal 3 27 12 2 2" xfId="7212"/>
    <cellStyle name="Normal 3 27 12 3" xfId="7213"/>
    <cellStyle name="Normal 3 27 13" xfId="7214"/>
    <cellStyle name="Normal 3 27 13 2" xfId="7215"/>
    <cellStyle name="Normal 3 27 13 2 2" xfId="7216"/>
    <cellStyle name="Normal 3 27 13 3" xfId="7217"/>
    <cellStyle name="Normal 3 27 14" xfId="7218"/>
    <cellStyle name="Normal 3 27 14 2" xfId="7219"/>
    <cellStyle name="Normal 3 27 14 2 2" xfId="7220"/>
    <cellStyle name="Normal 3 27 14 3" xfId="7221"/>
    <cellStyle name="Normal 3 27 15" xfId="7222"/>
    <cellStyle name="Normal 3 27 15 2" xfId="7223"/>
    <cellStyle name="Normal 3 27 15 2 2" xfId="7224"/>
    <cellStyle name="Normal 3 27 15 3" xfId="7225"/>
    <cellStyle name="Normal 3 27 16" xfId="7226"/>
    <cellStyle name="Normal 3 27 16 2" xfId="7227"/>
    <cellStyle name="Normal 3 27 16 2 2" xfId="7228"/>
    <cellStyle name="Normal 3 27 16 3" xfId="7229"/>
    <cellStyle name="Normal 3 27 17" xfId="7230"/>
    <cellStyle name="Normal 3 27 17 2" xfId="7231"/>
    <cellStyle name="Normal 3 27 17 2 2" xfId="7232"/>
    <cellStyle name="Normal 3 27 17 3" xfId="7233"/>
    <cellStyle name="Normal 3 27 18" xfId="7234"/>
    <cellStyle name="Normal 3 27 18 2" xfId="7235"/>
    <cellStyle name="Normal 3 27 18 2 2" xfId="7236"/>
    <cellStyle name="Normal 3 27 18 3" xfId="7237"/>
    <cellStyle name="Normal 3 27 19" xfId="7238"/>
    <cellStyle name="Normal 3 27 19 2" xfId="7239"/>
    <cellStyle name="Normal 3 27 19 2 2" xfId="7240"/>
    <cellStyle name="Normal 3 27 19 3" xfId="7241"/>
    <cellStyle name="Normal 3 27 2" xfId="7242"/>
    <cellStyle name="Normal 3 27 2 2" xfId="7243"/>
    <cellStyle name="Normal 3 27 2 2 2" xfId="7244"/>
    <cellStyle name="Normal 3 27 2 3" xfId="7245"/>
    <cellStyle name="Normal 3 27 20" xfId="7246"/>
    <cellStyle name="Normal 3 27 20 2" xfId="7247"/>
    <cellStyle name="Normal 3 27 20 2 2" xfId="7248"/>
    <cellStyle name="Normal 3 27 20 3" xfId="7249"/>
    <cellStyle name="Normal 3 27 21" xfId="7250"/>
    <cellStyle name="Normal 3 27 21 2" xfId="7251"/>
    <cellStyle name="Normal 3 27 21 2 2" xfId="7252"/>
    <cellStyle name="Normal 3 27 21 3" xfId="7253"/>
    <cellStyle name="Normal 3 27 22" xfId="7254"/>
    <cellStyle name="Normal 3 27 22 2" xfId="7255"/>
    <cellStyle name="Normal 3 27 22 2 2" xfId="7256"/>
    <cellStyle name="Normal 3 27 22 3" xfId="7257"/>
    <cellStyle name="Normal 3 27 23" xfId="7258"/>
    <cellStyle name="Normal 3 27 23 2" xfId="7259"/>
    <cellStyle name="Normal 3 27 23 2 2" xfId="7260"/>
    <cellStyle name="Normal 3 27 23 3" xfId="7261"/>
    <cellStyle name="Normal 3 27 24" xfId="7262"/>
    <cellStyle name="Normal 3 27 24 2" xfId="7263"/>
    <cellStyle name="Normal 3 27 25" xfId="7264"/>
    <cellStyle name="Normal 3 27 3" xfId="7265"/>
    <cellStyle name="Normal 3 27 3 2" xfId="7266"/>
    <cellStyle name="Normal 3 27 3 2 2" xfId="7267"/>
    <cellStyle name="Normal 3 27 3 3" xfId="7268"/>
    <cellStyle name="Normal 3 27 4" xfId="7269"/>
    <cellStyle name="Normal 3 27 4 2" xfId="7270"/>
    <cellStyle name="Normal 3 27 4 2 2" xfId="7271"/>
    <cellStyle name="Normal 3 27 4 3" xfId="7272"/>
    <cellStyle name="Normal 3 27 5" xfId="7273"/>
    <cellStyle name="Normal 3 27 5 2" xfId="7274"/>
    <cellStyle name="Normal 3 27 5 2 2" xfId="7275"/>
    <cellStyle name="Normal 3 27 5 3" xfId="7276"/>
    <cellStyle name="Normal 3 27 6" xfId="7277"/>
    <cellStyle name="Normal 3 27 6 2" xfId="7278"/>
    <cellStyle name="Normal 3 27 6 2 2" xfId="7279"/>
    <cellStyle name="Normal 3 27 6 3" xfId="7280"/>
    <cellStyle name="Normal 3 27 7" xfId="7281"/>
    <cellStyle name="Normal 3 27 7 2" xfId="7282"/>
    <cellStyle name="Normal 3 27 7 2 2" xfId="7283"/>
    <cellStyle name="Normal 3 27 7 3" xfId="7284"/>
    <cellStyle name="Normal 3 27 8" xfId="7285"/>
    <cellStyle name="Normal 3 27 8 2" xfId="7286"/>
    <cellStyle name="Normal 3 27 8 2 2" xfId="7287"/>
    <cellStyle name="Normal 3 27 8 3" xfId="7288"/>
    <cellStyle name="Normal 3 27 9" xfId="7289"/>
    <cellStyle name="Normal 3 27 9 2" xfId="7290"/>
    <cellStyle name="Normal 3 27 9 2 2" xfId="7291"/>
    <cellStyle name="Normal 3 27 9 3" xfId="7292"/>
    <cellStyle name="Normal 3 28" xfId="7293"/>
    <cellStyle name="Normal 3 28 10" xfId="7294"/>
    <cellStyle name="Normal 3 28 10 2" xfId="7295"/>
    <cellStyle name="Normal 3 28 10 2 2" xfId="7296"/>
    <cellStyle name="Normal 3 28 10 3" xfId="7297"/>
    <cellStyle name="Normal 3 28 11" xfId="7298"/>
    <cellStyle name="Normal 3 28 11 2" xfId="7299"/>
    <cellStyle name="Normal 3 28 11 2 2" xfId="7300"/>
    <cellStyle name="Normal 3 28 11 3" xfId="7301"/>
    <cellStyle name="Normal 3 28 12" xfId="7302"/>
    <cellStyle name="Normal 3 28 12 2" xfId="7303"/>
    <cellStyle name="Normal 3 28 12 2 2" xfId="7304"/>
    <cellStyle name="Normal 3 28 12 3" xfId="7305"/>
    <cellStyle name="Normal 3 28 13" xfId="7306"/>
    <cellStyle name="Normal 3 28 13 2" xfId="7307"/>
    <cellStyle name="Normal 3 28 13 2 2" xfId="7308"/>
    <cellStyle name="Normal 3 28 13 3" xfId="7309"/>
    <cellStyle name="Normal 3 28 14" xfId="7310"/>
    <cellStyle name="Normal 3 28 14 2" xfId="7311"/>
    <cellStyle name="Normal 3 28 14 2 2" xfId="7312"/>
    <cellStyle name="Normal 3 28 14 3" xfId="7313"/>
    <cellStyle name="Normal 3 28 15" xfId="7314"/>
    <cellStyle name="Normal 3 28 15 2" xfId="7315"/>
    <cellStyle name="Normal 3 28 15 2 2" xfId="7316"/>
    <cellStyle name="Normal 3 28 15 3" xfId="7317"/>
    <cellStyle name="Normal 3 28 16" xfId="7318"/>
    <cellStyle name="Normal 3 28 16 2" xfId="7319"/>
    <cellStyle name="Normal 3 28 16 2 2" xfId="7320"/>
    <cellStyle name="Normal 3 28 16 3" xfId="7321"/>
    <cellStyle name="Normal 3 28 17" xfId="7322"/>
    <cellStyle name="Normal 3 28 17 2" xfId="7323"/>
    <cellStyle name="Normal 3 28 17 2 2" xfId="7324"/>
    <cellStyle name="Normal 3 28 17 3" xfId="7325"/>
    <cellStyle name="Normal 3 28 18" xfId="7326"/>
    <cellStyle name="Normal 3 28 18 2" xfId="7327"/>
    <cellStyle name="Normal 3 28 18 2 2" xfId="7328"/>
    <cellStyle name="Normal 3 28 18 3" xfId="7329"/>
    <cellStyle name="Normal 3 28 19" xfId="7330"/>
    <cellStyle name="Normal 3 28 19 2" xfId="7331"/>
    <cellStyle name="Normal 3 28 19 2 2" xfId="7332"/>
    <cellStyle name="Normal 3 28 19 3" xfId="7333"/>
    <cellStyle name="Normal 3 28 2" xfId="7334"/>
    <cellStyle name="Normal 3 28 2 2" xfId="7335"/>
    <cellStyle name="Normal 3 28 2 2 2" xfId="7336"/>
    <cellStyle name="Normal 3 28 2 3" xfId="7337"/>
    <cellStyle name="Normal 3 28 20" xfId="7338"/>
    <cellStyle name="Normal 3 28 20 2" xfId="7339"/>
    <cellStyle name="Normal 3 28 20 2 2" xfId="7340"/>
    <cellStyle name="Normal 3 28 20 3" xfId="7341"/>
    <cellStyle name="Normal 3 28 21" xfId="7342"/>
    <cellStyle name="Normal 3 28 21 2" xfId="7343"/>
    <cellStyle name="Normal 3 28 21 2 2" xfId="7344"/>
    <cellStyle name="Normal 3 28 21 3" xfId="7345"/>
    <cellStyle name="Normal 3 28 22" xfId="7346"/>
    <cellStyle name="Normal 3 28 22 2" xfId="7347"/>
    <cellStyle name="Normal 3 28 22 2 2" xfId="7348"/>
    <cellStyle name="Normal 3 28 22 3" xfId="7349"/>
    <cellStyle name="Normal 3 28 23" xfId="7350"/>
    <cellStyle name="Normal 3 28 23 2" xfId="7351"/>
    <cellStyle name="Normal 3 28 23 2 2" xfId="7352"/>
    <cellStyle name="Normal 3 28 23 3" xfId="7353"/>
    <cellStyle name="Normal 3 28 24" xfId="7354"/>
    <cellStyle name="Normal 3 28 24 2" xfId="7355"/>
    <cellStyle name="Normal 3 28 25" xfId="7356"/>
    <cellStyle name="Normal 3 28 3" xfId="7357"/>
    <cellStyle name="Normal 3 28 3 2" xfId="7358"/>
    <cellStyle name="Normal 3 28 3 2 2" xfId="7359"/>
    <cellStyle name="Normal 3 28 3 3" xfId="7360"/>
    <cellStyle name="Normal 3 28 4" xfId="7361"/>
    <cellStyle name="Normal 3 28 4 2" xfId="7362"/>
    <cellStyle name="Normal 3 28 4 2 2" xfId="7363"/>
    <cellStyle name="Normal 3 28 4 3" xfId="7364"/>
    <cellStyle name="Normal 3 28 5" xfId="7365"/>
    <cellStyle name="Normal 3 28 5 2" xfId="7366"/>
    <cellStyle name="Normal 3 28 5 2 2" xfId="7367"/>
    <cellStyle name="Normal 3 28 5 3" xfId="7368"/>
    <cellStyle name="Normal 3 28 6" xfId="7369"/>
    <cellStyle name="Normal 3 28 6 2" xfId="7370"/>
    <cellStyle name="Normal 3 28 6 2 2" xfId="7371"/>
    <cellStyle name="Normal 3 28 6 3" xfId="7372"/>
    <cellStyle name="Normal 3 28 7" xfId="7373"/>
    <cellStyle name="Normal 3 28 7 2" xfId="7374"/>
    <cellStyle name="Normal 3 28 7 2 2" xfId="7375"/>
    <cellStyle name="Normal 3 28 7 3" xfId="7376"/>
    <cellStyle name="Normal 3 28 8" xfId="7377"/>
    <cellStyle name="Normal 3 28 8 2" xfId="7378"/>
    <cellStyle name="Normal 3 28 8 2 2" xfId="7379"/>
    <cellStyle name="Normal 3 28 8 3" xfId="7380"/>
    <cellStyle name="Normal 3 28 9" xfId="7381"/>
    <cellStyle name="Normal 3 28 9 2" xfId="7382"/>
    <cellStyle name="Normal 3 28 9 2 2" xfId="7383"/>
    <cellStyle name="Normal 3 28 9 3" xfId="7384"/>
    <cellStyle name="Normal 3 29" xfId="7385"/>
    <cellStyle name="Normal 3 29 10" xfId="7386"/>
    <cellStyle name="Normal 3 29 10 2" xfId="7387"/>
    <cellStyle name="Normal 3 29 10 2 2" xfId="7388"/>
    <cellStyle name="Normal 3 29 10 3" xfId="7389"/>
    <cellStyle name="Normal 3 29 11" xfId="7390"/>
    <cellStyle name="Normal 3 29 11 2" xfId="7391"/>
    <cellStyle name="Normal 3 29 11 2 2" xfId="7392"/>
    <cellStyle name="Normal 3 29 11 3" xfId="7393"/>
    <cellStyle name="Normal 3 29 12" xfId="7394"/>
    <cellStyle name="Normal 3 29 12 2" xfId="7395"/>
    <cellStyle name="Normal 3 29 12 2 2" xfId="7396"/>
    <cellStyle name="Normal 3 29 12 3" xfId="7397"/>
    <cellStyle name="Normal 3 29 13" xfId="7398"/>
    <cellStyle name="Normal 3 29 13 2" xfId="7399"/>
    <cellStyle name="Normal 3 29 13 2 2" xfId="7400"/>
    <cellStyle name="Normal 3 29 13 3" xfId="7401"/>
    <cellStyle name="Normal 3 29 14" xfId="7402"/>
    <cellStyle name="Normal 3 29 14 2" xfId="7403"/>
    <cellStyle name="Normal 3 29 14 2 2" xfId="7404"/>
    <cellStyle name="Normal 3 29 14 3" xfId="7405"/>
    <cellStyle name="Normal 3 29 15" xfId="7406"/>
    <cellStyle name="Normal 3 29 15 2" xfId="7407"/>
    <cellStyle name="Normal 3 29 15 2 2" xfId="7408"/>
    <cellStyle name="Normal 3 29 15 3" xfId="7409"/>
    <cellStyle name="Normal 3 29 16" xfId="7410"/>
    <cellStyle name="Normal 3 29 16 2" xfId="7411"/>
    <cellStyle name="Normal 3 29 16 2 2" xfId="7412"/>
    <cellStyle name="Normal 3 29 16 3" xfId="7413"/>
    <cellStyle name="Normal 3 29 17" xfId="7414"/>
    <cellStyle name="Normal 3 29 17 2" xfId="7415"/>
    <cellStyle name="Normal 3 29 17 2 2" xfId="7416"/>
    <cellStyle name="Normal 3 29 17 3" xfId="7417"/>
    <cellStyle name="Normal 3 29 18" xfId="7418"/>
    <cellStyle name="Normal 3 29 18 2" xfId="7419"/>
    <cellStyle name="Normal 3 29 18 2 2" xfId="7420"/>
    <cellStyle name="Normal 3 29 18 3" xfId="7421"/>
    <cellStyle name="Normal 3 29 19" xfId="7422"/>
    <cellStyle name="Normal 3 29 19 2" xfId="7423"/>
    <cellStyle name="Normal 3 29 19 2 2" xfId="7424"/>
    <cellStyle name="Normal 3 29 19 3" xfId="7425"/>
    <cellStyle name="Normal 3 29 2" xfId="7426"/>
    <cellStyle name="Normal 3 29 2 2" xfId="7427"/>
    <cellStyle name="Normal 3 29 2 2 2" xfId="7428"/>
    <cellStyle name="Normal 3 29 2 3" xfId="7429"/>
    <cellStyle name="Normal 3 29 20" xfId="7430"/>
    <cellStyle name="Normal 3 29 20 2" xfId="7431"/>
    <cellStyle name="Normal 3 29 20 2 2" xfId="7432"/>
    <cellStyle name="Normal 3 29 20 3" xfId="7433"/>
    <cellStyle name="Normal 3 29 21" xfId="7434"/>
    <cellStyle name="Normal 3 29 21 2" xfId="7435"/>
    <cellStyle name="Normal 3 29 21 2 2" xfId="7436"/>
    <cellStyle name="Normal 3 29 21 3" xfId="7437"/>
    <cellStyle name="Normal 3 29 22" xfId="7438"/>
    <cellStyle name="Normal 3 29 22 2" xfId="7439"/>
    <cellStyle name="Normal 3 29 22 2 2" xfId="7440"/>
    <cellStyle name="Normal 3 29 22 3" xfId="7441"/>
    <cellStyle name="Normal 3 29 23" xfId="7442"/>
    <cellStyle name="Normal 3 29 23 2" xfId="7443"/>
    <cellStyle name="Normal 3 29 23 2 2" xfId="7444"/>
    <cellStyle name="Normal 3 29 23 3" xfId="7445"/>
    <cellStyle name="Normal 3 29 24" xfId="7446"/>
    <cellStyle name="Normal 3 29 24 2" xfId="7447"/>
    <cellStyle name="Normal 3 29 25" xfId="7448"/>
    <cellStyle name="Normal 3 29 3" xfId="7449"/>
    <cellStyle name="Normal 3 29 3 2" xfId="7450"/>
    <cellStyle name="Normal 3 29 3 2 2" xfId="7451"/>
    <cellStyle name="Normal 3 29 3 3" xfId="7452"/>
    <cellStyle name="Normal 3 29 4" xfId="7453"/>
    <cellStyle name="Normal 3 29 4 2" xfId="7454"/>
    <cellStyle name="Normal 3 29 4 2 2" xfId="7455"/>
    <cellStyle name="Normal 3 29 4 3" xfId="7456"/>
    <cellStyle name="Normal 3 29 5" xfId="7457"/>
    <cellStyle name="Normal 3 29 5 2" xfId="7458"/>
    <cellStyle name="Normal 3 29 5 2 2" xfId="7459"/>
    <cellStyle name="Normal 3 29 5 3" xfId="7460"/>
    <cellStyle name="Normal 3 29 6" xfId="7461"/>
    <cellStyle name="Normal 3 29 6 2" xfId="7462"/>
    <cellStyle name="Normal 3 29 6 2 2" xfId="7463"/>
    <cellStyle name="Normal 3 29 6 3" xfId="7464"/>
    <cellStyle name="Normal 3 29 7" xfId="7465"/>
    <cellStyle name="Normal 3 29 7 2" xfId="7466"/>
    <cellStyle name="Normal 3 29 7 2 2" xfId="7467"/>
    <cellStyle name="Normal 3 29 7 3" xfId="7468"/>
    <cellStyle name="Normal 3 29 8" xfId="7469"/>
    <cellStyle name="Normal 3 29 8 2" xfId="7470"/>
    <cellStyle name="Normal 3 29 8 2 2" xfId="7471"/>
    <cellStyle name="Normal 3 29 8 3" xfId="7472"/>
    <cellStyle name="Normal 3 29 9" xfId="7473"/>
    <cellStyle name="Normal 3 29 9 2" xfId="7474"/>
    <cellStyle name="Normal 3 29 9 2 2" xfId="7475"/>
    <cellStyle name="Normal 3 29 9 3" xfId="7476"/>
    <cellStyle name="Normal 3 3" xfId="131"/>
    <cellStyle name="Normal 3 3 10" xfId="7477"/>
    <cellStyle name="Normal 3 3 10 2" xfId="7478"/>
    <cellStyle name="Normal 3 3 10 2 2" xfId="7479"/>
    <cellStyle name="Normal 3 3 10 3" xfId="7480"/>
    <cellStyle name="Normal 3 3 11" xfId="7481"/>
    <cellStyle name="Normal 3 3 11 2" xfId="7482"/>
    <cellStyle name="Normal 3 3 11 2 2" xfId="7483"/>
    <cellStyle name="Normal 3 3 11 3" xfId="7484"/>
    <cellStyle name="Normal 3 3 12" xfId="7485"/>
    <cellStyle name="Normal 3 3 12 2" xfId="7486"/>
    <cellStyle name="Normal 3 3 12 2 2" xfId="7487"/>
    <cellStyle name="Normal 3 3 12 3" xfId="7488"/>
    <cellStyle name="Normal 3 3 13" xfId="7489"/>
    <cellStyle name="Normal 3 3 13 2" xfId="7490"/>
    <cellStyle name="Normal 3 3 13 2 2" xfId="7491"/>
    <cellStyle name="Normal 3 3 13 3" xfId="7492"/>
    <cellStyle name="Normal 3 3 14" xfId="7493"/>
    <cellStyle name="Normal 3 3 14 2" xfId="7494"/>
    <cellStyle name="Normal 3 3 14 2 2" xfId="7495"/>
    <cellStyle name="Normal 3 3 14 3" xfId="7496"/>
    <cellStyle name="Normal 3 3 15" xfId="7497"/>
    <cellStyle name="Normal 3 3 15 2" xfId="7498"/>
    <cellStyle name="Normal 3 3 15 2 2" xfId="7499"/>
    <cellStyle name="Normal 3 3 15 3" xfId="7500"/>
    <cellStyle name="Normal 3 3 16" xfId="7501"/>
    <cellStyle name="Normal 3 3 16 2" xfId="7502"/>
    <cellStyle name="Normal 3 3 16 2 2" xfId="7503"/>
    <cellStyle name="Normal 3 3 16 3" xfId="7504"/>
    <cellStyle name="Normal 3 3 17" xfId="7505"/>
    <cellStyle name="Normal 3 3 17 2" xfId="7506"/>
    <cellStyle name="Normal 3 3 17 2 2" xfId="7507"/>
    <cellStyle name="Normal 3 3 17 3" xfId="7508"/>
    <cellStyle name="Normal 3 3 18" xfId="7509"/>
    <cellStyle name="Normal 3 3 18 2" xfId="7510"/>
    <cellStyle name="Normal 3 3 18 2 2" xfId="7511"/>
    <cellStyle name="Normal 3 3 18 3" xfId="7512"/>
    <cellStyle name="Normal 3 3 19" xfId="7513"/>
    <cellStyle name="Normal 3 3 19 2" xfId="7514"/>
    <cellStyle name="Normal 3 3 19 2 2" xfId="7515"/>
    <cellStyle name="Normal 3 3 19 3" xfId="7516"/>
    <cellStyle name="Normal 3 3 2" xfId="1065"/>
    <cellStyle name="Normal 3 3 2 2" xfId="1066"/>
    <cellStyle name="Normal 3 3 2 2 2" xfId="7517"/>
    <cellStyle name="Normal 3 3 2 3" xfId="7518"/>
    <cellStyle name="Normal 3 3 20" xfId="7519"/>
    <cellStyle name="Normal 3 3 20 2" xfId="7520"/>
    <cellStyle name="Normal 3 3 20 2 2" xfId="7521"/>
    <cellStyle name="Normal 3 3 20 3" xfId="7522"/>
    <cellStyle name="Normal 3 3 21" xfId="7523"/>
    <cellStyle name="Normal 3 3 21 2" xfId="7524"/>
    <cellStyle name="Normal 3 3 21 2 2" xfId="7525"/>
    <cellStyle name="Normal 3 3 21 3" xfId="7526"/>
    <cellStyle name="Normal 3 3 22" xfId="7527"/>
    <cellStyle name="Normal 3 3 22 2" xfId="7528"/>
    <cellStyle name="Normal 3 3 22 2 2" xfId="7529"/>
    <cellStyle name="Normal 3 3 22 3" xfId="7530"/>
    <cellStyle name="Normal 3 3 23" xfId="7531"/>
    <cellStyle name="Normal 3 3 23 2" xfId="7532"/>
    <cellStyle name="Normal 3 3 23 2 2" xfId="7533"/>
    <cellStyle name="Normal 3 3 23 3" xfId="7534"/>
    <cellStyle name="Normal 3 3 24" xfId="7535"/>
    <cellStyle name="Normal 3 3 24 2" xfId="7536"/>
    <cellStyle name="Normal 3 3 25" xfId="7537"/>
    <cellStyle name="Normal 3 3 3" xfId="7538"/>
    <cellStyle name="Normal 3 3 3 2" xfId="7539"/>
    <cellStyle name="Normal 3 3 3 2 2" xfId="7540"/>
    <cellStyle name="Normal 3 3 3 3" xfId="7541"/>
    <cellStyle name="Normal 3 3 4" xfId="7542"/>
    <cellStyle name="Normal 3 3 4 2" xfId="7543"/>
    <cellStyle name="Normal 3 3 4 2 2" xfId="7544"/>
    <cellStyle name="Normal 3 3 4 3" xfId="7545"/>
    <cellStyle name="Normal 3 3 5" xfId="7546"/>
    <cellStyle name="Normal 3 3 5 2" xfId="7547"/>
    <cellStyle name="Normal 3 3 5 2 2" xfId="7548"/>
    <cellStyle name="Normal 3 3 5 3" xfId="7549"/>
    <cellStyle name="Normal 3 3 6" xfId="7550"/>
    <cellStyle name="Normal 3 3 6 2" xfId="7551"/>
    <cellStyle name="Normal 3 3 6 2 2" xfId="7552"/>
    <cellStyle name="Normal 3 3 6 3" xfId="7553"/>
    <cellStyle name="Normal 3 3 7" xfId="7554"/>
    <cellStyle name="Normal 3 3 7 2" xfId="7555"/>
    <cellStyle name="Normal 3 3 7 2 2" xfId="7556"/>
    <cellStyle name="Normal 3 3 7 3" xfId="7557"/>
    <cellStyle name="Normal 3 3 8" xfId="7558"/>
    <cellStyle name="Normal 3 3 8 2" xfId="7559"/>
    <cellStyle name="Normal 3 3 8 2 2" xfId="7560"/>
    <cellStyle name="Normal 3 3 8 3" xfId="7561"/>
    <cellStyle name="Normal 3 3 9" xfId="7562"/>
    <cellStyle name="Normal 3 3 9 2" xfId="7563"/>
    <cellStyle name="Normal 3 3 9 2 2" xfId="7564"/>
    <cellStyle name="Normal 3 3 9 3" xfId="7565"/>
    <cellStyle name="Normal 3 30" xfId="7566"/>
    <cellStyle name="Normal 3 30 10" xfId="7567"/>
    <cellStyle name="Normal 3 30 10 2" xfId="7568"/>
    <cellStyle name="Normal 3 30 10 2 2" xfId="7569"/>
    <cellStyle name="Normal 3 30 10 3" xfId="7570"/>
    <cellStyle name="Normal 3 30 11" xfId="7571"/>
    <cellStyle name="Normal 3 30 11 2" xfId="7572"/>
    <cellStyle name="Normal 3 30 11 2 2" xfId="7573"/>
    <cellStyle name="Normal 3 30 11 3" xfId="7574"/>
    <cellStyle name="Normal 3 30 12" xfId="7575"/>
    <cellStyle name="Normal 3 30 12 2" xfId="7576"/>
    <cellStyle name="Normal 3 30 12 2 2" xfId="7577"/>
    <cellStyle name="Normal 3 30 12 3" xfId="7578"/>
    <cellStyle name="Normal 3 30 13" xfId="7579"/>
    <cellStyle name="Normal 3 30 13 2" xfId="7580"/>
    <cellStyle name="Normal 3 30 13 2 2" xfId="7581"/>
    <cellStyle name="Normal 3 30 13 3" xfId="7582"/>
    <cellStyle name="Normal 3 30 14" xfId="7583"/>
    <cellStyle name="Normal 3 30 14 2" xfId="7584"/>
    <cellStyle name="Normal 3 30 14 2 2" xfId="7585"/>
    <cellStyle name="Normal 3 30 14 3" xfId="7586"/>
    <cellStyle name="Normal 3 30 15" xfId="7587"/>
    <cellStyle name="Normal 3 30 15 2" xfId="7588"/>
    <cellStyle name="Normal 3 30 15 2 2" xfId="7589"/>
    <cellStyle name="Normal 3 30 15 3" xfId="7590"/>
    <cellStyle name="Normal 3 30 16" xfId="7591"/>
    <cellStyle name="Normal 3 30 16 2" xfId="7592"/>
    <cellStyle name="Normal 3 30 16 2 2" xfId="7593"/>
    <cellStyle name="Normal 3 30 16 3" xfId="7594"/>
    <cellStyle name="Normal 3 30 17" xfId="7595"/>
    <cellStyle name="Normal 3 30 17 2" xfId="7596"/>
    <cellStyle name="Normal 3 30 17 2 2" xfId="7597"/>
    <cellStyle name="Normal 3 30 17 3" xfId="7598"/>
    <cellStyle name="Normal 3 30 18" xfId="7599"/>
    <cellStyle name="Normal 3 30 18 2" xfId="7600"/>
    <cellStyle name="Normal 3 30 18 2 2" xfId="7601"/>
    <cellStyle name="Normal 3 30 18 3" xfId="7602"/>
    <cellStyle name="Normal 3 30 19" xfId="7603"/>
    <cellStyle name="Normal 3 30 19 2" xfId="7604"/>
    <cellStyle name="Normal 3 30 19 2 2" xfId="7605"/>
    <cellStyle name="Normal 3 30 19 3" xfId="7606"/>
    <cellStyle name="Normal 3 30 2" xfId="7607"/>
    <cellStyle name="Normal 3 30 2 2" xfId="7608"/>
    <cellStyle name="Normal 3 30 2 2 2" xfId="7609"/>
    <cellStyle name="Normal 3 30 2 3" xfId="7610"/>
    <cellStyle name="Normal 3 30 20" xfId="7611"/>
    <cellStyle name="Normal 3 30 20 2" xfId="7612"/>
    <cellStyle name="Normal 3 30 20 2 2" xfId="7613"/>
    <cellStyle name="Normal 3 30 20 3" xfId="7614"/>
    <cellStyle name="Normal 3 30 21" xfId="7615"/>
    <cellStyle name="Normal 3 30 21 2" xfId="7616"/>
    <cellStyle name="Normal 3 30 21 2 2" xfId="7617"/>
    <cellStyle name="Normal 3 30 21 3" xfId="7618"/>
    <cellStyle name="Normal 3 30 22" xfId="7619"/>
    <cellStyle name="Normal 3 30 22 2" xfId="7620"/>
    <cellStyle name="Normal 3 30 22 2 2" xfId="7621"/>
    <cellStyle name="Normal 3 30 22 3" xfId="7622"/>
    <cellStyle name="Normal 3 30 23" xfId="7623"/>
    <cellStyle name="Normal 3 30 23 2" xfId="7624"/>
    <cellStyle name="Normal 3 30 23 2 2" xfId="7625"/>
    <cellStyle name="Normal 3 30 23 3" xfId="7626"/>
    <cellStyle name="Normal 3 30 24" xfId="7627"/>
    <cellStyle name="Normal 3 30 24 2" xfId="7628"/>
    <cellStyle name="Normal 3 30 25" xfId="7629"/>
    <cellStyle name="Normal 3 30 3" xfId="7630"/>
    <cellStyle name="Normal 3 30 3 2" xfId="7631"/>
    <cellStyle name="Normal 3 30 3 2 2" xfId="7632"/>
    <cellStyle name="Normal 3 30 3 3" xfId="7633"/>
    <cellStyle name="Normal 3 30 4" xfId="7634"/>
    <cellStyle name="Normal 3 30 4 2" xfId="7635"/>
    <cellStyle name="Normal 3 30 4 2 2" xfId="7636"/>
    <cellStyle name="Normal 3 30 4 3" xfId="7637"/>
    <cellStyle name="Normal 3 30 5" xfId="7638"/>
    <cellStyle name="Normal 3 30 5 2" xfId="7639"/>
    <cellStyle name="Normal 3 30 5 2 2" xfId="7640"/>
    <cellStyle name="Normal 3 30 5 3" xfId="7641"/>
    <cellStyle name="Normal 3 30 6" xfId="7642"/>
    <cellStyle name="Normal 3 30 6 2" xfId="7643"/>
    <cellStyle name="Normal 3 30 6 2 2" xfId="7644"/>
    <cellStyle name="Normal 3 30 6 3" xfId="7645"/>
    <cellStyle name="Normal 3 30 7" xfId="7646"/>
    <cellStyle name="Normal 3 30 7 2" xfId="7647"/>
    <cellStyle name="Normal 3 30 7 2 2" xfId="7648"/>
    <cellStyle name="Normal 3 30 7 3" xfId="7649"/>
    <cellStyle name="Normal 3 30 8" xfId="7650"/>
    <cellStyle name="Normal 3 30 8 2" xfId="7651"/>
    <cellStyle name="Normal 3 30 8 2 2" xfId="7652"/>
    <cellStyle name="Normal 3 30 8 3" xfId="7653"/>
    <cellStyle name="Normal 3 30 9" xfId="7654"/>
    <cellStyle name="Normal 3 30 9 2" xfId="7655"/>
    <cellStyle name="Normal 3 30 9 2 2" xfId="7656"/>
    <cellStyle name="Normal 3 30 9 3" xfId="7657"/>
    <cellStyle name="Normal 3 31" xfId="7658"/>
    <cellStyle name="Normal 3 31 10" xfId="7659"/>
    <cellStyle name="Normal 3 31 10 2" xfId="7660"/>
    <cellStyle name="Normal 3 31 10 2 2" xfId="7661"/>
    <cellStyle name="Normal 3 31 10 3" xfId="7662"/>
    <cellStyle name="Normal 3 31 11" xfId="7663"/>
    <cellStyle name="Normal 3 31 11 2" xfId="7664"/>
    <cellStyle name="Normal 3 31 11 2 2" xfId="7665"/>
    <cellStyle name="Normal 3 31 11 3" xfId="7666"/>
    <cellStyle name="Normal 3 31 12" xfId="7667"/>
    <cellStyle name="Normal 3 31 12 2" xfId="7668"/>
    <cellStyle name="Normal 3 31 12 2 2" xfId="7669"/>
    <cellStyle name="Normal 3 31 12 3" xfId="7670"/>
    <cellStyle name="Normal 3 31 13" xfId="7671"/>
    <cellStyle name="Normal 3 31 13 2" xfId="7672"/>
    <cellStyle name="Normal 3 31 13 2 2" xfId="7673"/>
    <cellStyle name="Normal 3 31 13 3" xfId="7674"/>
    <cellStyle name="Normal 3 31 14" xfId="7675"/>
    <cellStyle name="Normal 3 31 14 2" xfId="7676"/>
    <cellStyle name="Normal 3 31 14 2 2" xfId="7677"/>
    <cellStyle name="Normal 3 31 14 3" xfId="7678"/>
    <cellStyle name="Normal 3 31 15" xfId="7679"/>
    <cellStyle name="Normal 3 31 15 2" xfId="7680"/>
    <cellStyle name="Normal 3 31 15 2 2" xfId="7681"/>
    <cellStyle name="Normal 3 31 15 3" xfId="7682"/>
    <cellStyle name="Normal 3 31 16" xfId="7683"/>
    <cellStyle name="Normal 3 31 16 2" xfId="7684"/>
    <cellStyle name="Normal 3 31 16 2 2" xfId="7685"/>
    <cellStyle name="Normal 3 31 16 3" xfId="7686"/>
    <cellStyle name="Normal 3 31 17" xfId="7687"/>
    <cellStyle name="Normal 3 31 17 2" xfId="7688"/>
    <cellStyle name="Normal 3 31 17 2 2" xfId="7689"/>
    <cellStyle name="Normal 3 31 17 3" xfId="7690"/>
    <cellStyle name="Normal 3 31 18" xfId="7691"/>
    <cellStyle name="Normal 3 31 18 2" xfId="7692"/>
    <cellStyle name="Normal 3 31 18 2 2" xfId="7693"/>
    <cellStyle name="Normal 3 31 18 3" xfId="7694"/>
    <cellStyle name="Normal 3 31 19" xfId="7695"/>
    <cellStyle name="Normal 3 31 19 2" xfId="7696"/>
    <cellStyle name="Normal 3 31 19 2 2" xfId="7697"/>
    <cellStyle name="Normal 3 31 19 3" xfId="7698"/>
    <cellStyle name="Normal 3 31 2" xfId="7699"/>
    <cellStyle name="Normal 3 31 2 2" xfId="7700"/>
    <cellStyle name="Normal 3 31 2 2 2" xfId="7701"/>
    <cellStyle name="Normal 3 31 2 3" xfId="7702"/>
    <cellStyle name="Normal 3 31 20" xfId="7703"/>
    <cellStyle name="Normal 3 31 20 2" xfId="7704"/>
    <cellStyle name="Normal 3 31 20 2 2" xfId="7705"/>
    <cellStyle name="Normal 3 31 20 3" xfId="7706"/>
    <cellStyle name="Normal 3 31 21" xfId="7707"/>
    <cellStyle name="Normal 3 31 21 2" xfId="7708"/>
    <cellStyle name="Normal 3 31 21 2 2" xfId="7709"/>
    <cellStyle name="Normal 3 31 21 3" xfId="7710"/>
    <cellStyle name="Normal 3 31 22" xfId="7711"/>
    <cellStyle name="Normal 3 31 22 2" xfId="7712"/>
    <cellStyle name="Normal 3 31 22 2 2" xfId="7713"/>
    <cellStyle name="Normal 3 31 22 3" xfId="7714"/>
    <cellStyle name="Normal 3 31 23" xfId="7715"/>
    <cellStyle name="Normal 3 31 23 2" xfId="7716"/>
    <cellStyle name="Normal 3 31 23 2 2" xfId="7717"/>
    <cellStyle name="Normal 3 31 23 3" xfId="7718"/>
    <cellStyle name="Normal 3 31 24" xfId="7719"/>
    <cellStyle name="Normal 3 31 24 2" xfId="7720"/>
    <cellStyle name="Normal 3 31 25" xfId="7721"/>
    <cellStyle name="Normal 3 31 3" xfId="7722"/>
    <cellStyle name="Normal 3 31 3 2" xfId="7723"/>
    <cellStyle name="Normal 3 31 3 2 2" xfId="7724"/>
    <cellStyle name="Normal 3 31 3 3" xfId="7725"/>
    <cellStyle name="Normal 3 31 4" xfId="7726"/>
    <cellStyle name="Normal 3 31 4 2" xfId="7727"/>
    <cellStyle name="Normal 3 31 4 2 2" xfId="7728"/>
    <cellStyle name="Normal 3 31 4 3" xfId="7729"/>
    <cellStyle name="Normal 3 31 5" xfId="7730"/>
    <cellStyle name="Normal 3 31 5 2" xfId="7731"/>
    <cellStyle name="Normal 3 31 5 2 2" xfId="7732"/>
    <cellStyle name="Normal 3 31 5 3" xfId="7733"/>
    <cellStyle name="Normal 3 31 6" xfId="7734"/>
    <cellStyle name="Normal 3 31 6 2" xfId="7735"/>
    <cellStyle name="Normal 3 31 6 2 2" xfId="7736"/>
    <cellStyle name="Normal 3 31 6 3" xfId="7737"/>
    <cellStyle name="Normal 3 31 7" xfId="7738"/>
    <cellStyle name="Normal 3 31 7 2" xfId="7739"/>
    <cellStyle name="Normal 3 31 7 2 2" xfId="7740"/>
    <cellStyle name="Normal 3 31 7 3" xfId="7741"/>
    <cellStyle name="Normal 3 31 8" xfId="7742"/>
    <cellStyle name="Normal 3 31 8 2" xfId="7743"/>
    <cellStyle name="Normal 3 31 8 2 2" xfId="7744"/>
    <cellStyle name="Normal 3 31 8 3" xfId="7745"/>
    <cellStyle name="Normal 3 31 9" xfId="7746"/>
    <cellStyle name="Normal 3 31 9 2" xfId="7747"/>
    <cellStyle name="Normal 3 31 9 2 2" xfId="7748"/>
    <cellStyle name="Normal 3 31 9 3" xfId="7749"/>
    <cellStyle name="Normal 3 32" xfId="7750"/>
    <cellStyle name="Normal 3 32 10" xfId="7751"/>
    <cellStyle name="Normal 3 32 10 2" xfId="7752"/>
    <cellStyle name="Normal 3 32 10 2 2" xfId="7753"/>
    <cellStyle name="Normal 3 32 10 3" xfId="7754"/>
    <cellStyle name="Normal 3 32 11" xfId="7755"/>
    <cellStyle name="Normal 3 32 11 2" xfId="7756"/>
    <cellStyle name="Normal 3 32 11 2 2" xfId="7757"/>
    <cellStyle name="Normal 3 32 11 3" xfId="7758"/>
    <cellStyle name="Normal 3 32 12" xfId="7759"/>
    <cellStyle name="Normal 3 32 12 2" xfId="7760"/>
    <cellStyle name="Normal 3 32 12 2 2" xfId="7761"/>
    <cellStyle name="Normal 3 32 12 3" xfId="7762"/>
    <cellStyle name="Normal 3 32 13" xfId="7763"/>
    <cellStyle name="Normal 3 32 13 2" xfId="7764"/>
    <cellStyle name="Normal 3 32 13 2 2" xfId="7765"/>
    <cellStyle name="Normal 3 32 13 3" xfId="7766"/>
    <cellStyle name="Normal 3 32 14" xfId="7767"/>
    <cellStyle name="Normal 3 32 14 2" xfId="7768"/>
    <cellStyle name="Normal 3 32 14 2 2" xfId="7769"/>
    <cellStyle name="Normal 3 32 14 3" xfId="7770"/>
    <cellStyle name="Normal 3 32 15" xfId="7771"/>
    <cellStyle name="Normal 3 32 15 2" xfId="7772"/>
    <cellStyle name="Normal 3 32 15 2 2" xfId="7773"/>
    <cellStyle name="Normal 3 32 15 3" xfId="7774"/>
    <cellStyle name="Normal 3 32 16" xfId="7775"/>
    <cellStyle name="Normal 3 32 16 2" xfId="7776"/>
    <cellStyle name="Normal 3 32 16 2 2" xfId="7777"/>
    <cellStyle name="Normal 3 32 16 3" xfId="7778"/>
    <cellStyle name="Normal 3 32 17" xfId="7779"/>
    <cellStyle name="Normal 3 32 17 2" xfId="7780"/>
    <cellStyle name="Normal 3 32 17 2 2" xfId="7781"/>
    <cellStyle name="Normal 3 32 17 3" xfId="7782"/>
    <cellStyle name="Normal 3 32 18" xfId="7783"/>
    <cellStyle name="Normal 3 32 18 2" xfId="7784"/>
    <cellStyle name="Normal 3 32 18 2 2" xfId="7785"/>
    <cellStyle name="Normal 3 32 18 3" xfId="7786"/>
    <cellStyle name="Normal 3 32 19" xfId="7787"/>
    <cellStyle name="Normal 3 32 19 2" xfId="7788"/>
    <cellStyle name="Normal 3 32 19 2 2" xfId="7789"/>
    <cellStyle name="Normal 3 32 19 3" xfId="7790"/>
    <cellStyle name="Normal 3 32 2" xfId="7791"/>
    <cellStyle name="Normal 3 32 2 2" xfId="7792"/>
    <cellStyle name="Normal 3 32 2 2 2" xfId="7793"/>
    <cellStyle name="Normal 3 32 2 3" xfId="7794"/>
    <cellStyle name="Normal 3 32 20" xfId="7795"/>
    <cellStyle name="Normal 3 32 20 2" xfId="7796"/>
    <cellStyle name="Normal 3 32 20 2 2" xfId="7797"/>
    <cellStyle name="Normal 3 32 20 3" xfId="7798"/>
    <cellStyle name="Normal 3 32 21" xfId="7799"/>
    <cellStyle name="Normal 3 32 21 2" xfId="7800"/>
    <cellStyle name="Normal 3 32 21 2 2" xfId="7801"/>
    <cellStyle name="Normal 3 32 21 3" xfId="7802"/>
    <cellStyle name="Normal 3 32 22" xfId="7803"/>
    <cellStyle name="Normal 3 32 22 2" xfId="7804"/>
    <cellStyle name="Normal 3 32 22 2 2" xfId="7805"/>
    <cellStyle name="Normal 3 32 22 3" xfId="7806"/>
    <cellStyle name="Normal 3 32 23" xfId="7807"/>
    <cellStyle name="Normal 3 32 23 2" xfId="7808"/>
    <cellStyle name="Normal 3 32 23 2 2" xfId="7809"/>
    <cellStyle name="Normal 3 32 23 3" xfId="7810"/>
    <cellStyle name="Normal 3 32 24" xfId="7811"/>
    <cellStyle name="Normal 3 32 24 2" xfId="7812"/>
    <cellStyle name="Normal 3 32 25" xfId="7813"/>
    <cellStyle name="Normal 3 32 3" xfId="7814"/>
    <cellStyle name="Normal 3 32 3 2" xfId="7815"/>
    <cellStyle name="Normal 3 32 3 2 2" xfId="7816"/>
    <cellStyle name="Normal 3 32 3 3" xfId="7817"/>
    <cellStyle name="Normal 3 32 4" xfId="7818"/>
    <cellStyle name="Normal 3 32 4 2" xfId="7819"/>
    <cellStyle name="Normal 3 32 4 2 2" xfId="7820"/>
    <cellStyle name="Normal 3 32 4 3" xfId="7821"/>
    <cellStyle name="Normal 3 32 5" xfId="7822"/>
    <cellStyle name="Normal 3 32 5 2" xfId="7823"/>
    <cellStyle name="Normal 3 32 5 2 2" xfId="7824"/>
    <cellStyle name="Normal 3 32 5 3" xfId="7825"/>
    <cellStyle name="Normal 3 32 6" xfId="7826"/>
    <cellStyle name="Normal 3 32 6 2" xfId="7827"/>
    <cellStyle name="Normal 3 32 6 2 2" xfId="7828"/>
    <cellStyle name="Normal 3 32 6 3" xfId="7829"/>
    <cellStyle name="Normal 3 32 7" xfId="7830"/>
    <cellStyle name="Normal 3 32 7 2" xfId="7831"/>
    <cellStyle name="Normal 3 32 7 2 2" xfId="7832"/>
    <cellStyle name="Normal 3 32 7 3" xfId="7833"/>
    <cellStyle name="Normal 3 32 8" xfId="7834"/>
    <cellStyle name="Normal 3 32 8 2" xfId="7835"/>
    <cellStyle name="Normal 3 32 8 2 2" xfId="7836"/>
    <cellStyle name="Normal 3 32 8 3" xfId="7837"/>
    <cellStyle name="Normal 3 32 9" xfId="7838"/>
    <cellStyle name="Normal 3 32 9 2" xfId="7839"/>
    <cellStyle name="Normal 3 32 9 2 2" xfId="7840"/>
    <cellStyle name="Normal 3 32 9 3" xfId="7841"/>
    <cellStyle name="Normal 3 33" xfId="7842"/>
    <cellStyle name="Normal 3 33 10" xfId="7843"/>
    <cellStyle name="Normal 3 33 10 2" xfId="7844"/>
    <cellStyle name="Normal 3 33 10 2 2" xfId="7845"/>
    <cellStyle name="Normal 3 33 10 3" xfId="7846"/>
    <cellStyle name="Normal 3 33 11" xfId="7847"/>
    <cellStyle name="Normal 3 33 11 2" xfId="7848"/>
    <cellStyle name="Normal 3 33 11 2 2" xfId="7849"/>
    <cellStyle name="Normal 3 33 11 3" xfId="7850"/>
    <cellStyle name="Normal 3 33 12" xfId="7851"/>
    <cellStyle name="Normal 3 33 12 2" xfId="7852"/>
    <cellStyle name="Normal 3 33 12 2 2" xfId="7853"/>
    <cellStyle name="Normal 3 33 12 3" xfId="7854"/>
    <cellStyle name="Normal 3 33 13" xfId="7855"/>
    <cellStyle name="Normal 3 33 13 2" xfId="7856"/>
    <cellStyle name="Normal 3 33 13 2 2" xfId="7857"/>
    <cellStyle name="Normal 3 33 13 3" xfId="7858"/>
    <cellStyle name="Normal 3 33 14" xfId="7859"/>
    <cellStyle name="Normal 3 33 14 2" xfId="7860"/>
    <cellStyle name="Normal 3 33 14 2 2" xfId="7861"/>
    <cellStyle name="Normal 3 33 14 3" xfId="7862"/>
    <cellStyle name="Normal 3 33 15" xfId="7863"/>
    <cellStyle name="Normal 3 33 15 2" xfId="7864"/>
    <cellStyle name="Normal 3 33 15 2 2" xfId="7865"/>
    <cellStyle name="Normal 3 33 15 3" xfId="7866"/>
    <cellStyle name="Normal 3 33 16" xfId="7867"/>
    <cellStyle name="Normal 3 33 16 2" xfId="7868"/>
    <cellStyle name="Normal 3 33 16 2 2" xfId="7869"/>
    <cellStyle name="Normal 3 33 16 3" xfId="7870"/>
    <cellStyle name="Normal 3 33 17" xfId="7871"/>
    <cellStyle name="Normal 3 33 17 2" xfId="7872"/>
    <cellStyle name="Normal 3 33 17 2 2" xfId="7873"/>
    <cellStyle name="Normal 3 33 17 3" xfId="7874"/>
    <cellStyle name="Normal 3 33 18" xfId="7875"/>
    <cellStyle name="Normal 3 33 18 2" xfId="7876"/>
    <cellStyle name="Normal 3 33 18 2 2" xfId="7877"/>
    <cellStyle name="Normal 3 33 18 3" xfId="7878"/>
    <cellStyle name="Normal 3 33 19" xfId="7879"/>
    <cellStyle name="Normal 3 33 19 2" xfId="7880"/>
    <cellStyle name="Normal 3 33 19 2 2" xfId="7881"/>
    <cellStyle name="Normal 3 33 19 3" xfId="7882"/>
    <cellStyle name="Normal 3 33 2" xfId="7883"/>
    <cellStyle name="Normal 3 33 2 2" xfId="7884"/>
    <cellStyle name="Normal 3 33 2 2 2" xfId="7885"/>
    <cellStyle name="Normal 3 33 2 3" xfId="7886"/>
    <cellStyle name="Normal 3 33 20" xfId="7887"/>
    <cellStyle name="Normal 3 33 20 2" xfId="7888"/>
    <cellStyle name="Normal 3 33 20 2 2" xfId="7889"/>
    <cellStyle name="Normal 3 33 20 3" xfId="7890"/>
    <cellStyle name="Normal 3 33 21" xfId="7891"/>
    <cellStyle name="Normal 3 33 21 2" xfId="7892"/>
    <cellStyle name="Normal 3 33 21 2 2" xfId="7893"/>
    <cellStyle name="Normal 3 33 21 3" xfId="7894"/>
    <cellStyle name="Normal 3 33 22" xfId="7895"/>
    <cellStyle name="Normal 3 33 22 2" xfId="7896"/>
    <cellStyle name="Normal 3 33 22 2 2" xfId="7897"/>
    <cellStyle name="Normal 3 33 22 3" xfId="7898"/>
    <cellStyle name="Normal 3 33 23" xfId="7899"/>
    <cellStyle name="Normal 3 33 23 2" xfId="7900"/>
    <cellStyle name="Normal 3 33 23 2 2" xfId="7901"/>
    <cellStyle name="Normal 3 33 23 3" xfId="7902"/>
    <cellStyle name="Normal 3 33 24" xfId="7903"/>
    <cellStyle name="Normal 3 33 24 2" xfId="7904"/>
    <cellStyle name="Normal 3 33 25" xfId="7905"/>
    <cellStyle name="Normal 3 33 3" xfId="7906"/>
    <cellStyle name="Normal 3 33 3 2" xfId="7907"/>
    <cellStyle name="Normal 3 33 3 2 2" xfId="7908"/>
    <cellStyle name="Normal 3 33 3 3" xfId="7909"/>
    <cellStyle name="Normal 3 33 4" xfId="7910"/>
    <cellStyle name="Normal 3 33 4 2" xfId="7911"/>
    <cellStyle name="Normal 3 33 4 2 2" xfId="7912"/>
    <cellStyle name="Normal 3 33 4 3" xfId="7913"/>
    <cellStyle name="Normal 3 33 5" xfId="7914"/>
    <cellStyle name="Normal 3 33 5 2" xfId="7915"/>
    <cellStyle name="Normal 3 33 5 2 2" xfId="7916"/>
    <cellStyle name="Normal 3 33 5 3" xfId="7917"/>
    <cellStyle name="Normal 3 33 6" xfId="7918"/>
    <cellStyle name="Normal 3 33 6 2" xfId="7919"/>
    <cellStyle name="Normal 3 33 6 2 2" xfId="7920"/>
    <cellStyle name="Normal 3 33 6 3" xfId="7921"/>
    <cellStyle name="Normal 3 33 7" xfId="7922"/>
    <cellStyle name="Normal 3 33 7 2" xfId="7923"/>
    <cellStyle name="Normal 3 33 7 2 2" xfId="7924"/>
    <cellStyle name="Normal 3 33 7 3" xfId="7925"/>
    <cellStyle name="Normal 3 33 8" xfId="7926"/>
    <cellStyle name="Normal 3 33 8 2" xfId="7927"/>
    <cellStyle name="Normal 3 33 8 2 2" xfId="7928"/>
    <cellStyle name="Normal 3 33 8 3" xfId="7929"/>
    <cellStyle name="Normal 3 33 9" xfId="7930"/>
    <cellStyle name="Normal 3 33 9 2" xfId="7931"/>
    <cellStyle name="Normal 3 33 9 2 2" xfId="7932"/>
    <cellStyle name="Normal 3 33 9 3" xfId="7933"/>
    <cellStyle name="Normal 3 34" xfId="7934"/>
    <cellStyle name="Normal 3 34 2" xfId="7935"/>
    <cellStyle name="Normal 3 34 2 2" xfId="7936"/>
    <cellStyle name="Normal 3 34 3" xfId="7937"/>
    <cellStyle name="Normal 3 35" xfId="7938"/>
    <cellStyle name="Normal 3 35 2" xfId="7939"/>
    <cellStyle name="Normal 3 35 2 2" xfId="7940"/>
    <cellStyle name="Normal 3 35 3" xfId="7941"/>
    <cellStyle name="Normal 3 36" xfId="7942"/>
    <cellStyle name="Normal 3 36 2" xfId="7943"/>
    <cellStyle name="Normal 3 36 2 2" xfId="7944"/>
    <cellStyle name="Normal 3 36 3" xfId="7945"/>
    <cellStyle name="Normal 3 37" xfId="7946"/>
    <cellStyle name="Normal 3 37 2" xfId="7947"/>
    <cellStyle name="Normal 3 37 2 2" xfId="7948"/>
    <cellStyle name="Normal 3 37 3" xfId="7949"/>
    <cellStyle name="Normal 3 38" xfId="7950"/>
    <cellStyle name="Normal 3 38 2" xfId="7951"/>
    <cellStyle name="Normal 3 38 2 2" xfId="7952"/>
    <cellStyle name="Normal 3 38 3" xfId="7953"/>
    <cellStyle name="Normal 3 39" xfId="7954"/>
    <cellStyle name="Normal 3 39 2" xfId="7955"/>
    <cellStyle name="Normal 3 39 2 2" xfId="7956"/>
    <cellStyle name="Normal 3 39 3" xfId="7957"/>
    <cellStyle name="Normal 3 4" xfId="63"/>
    <cellStyle name="Normal 3 4 10" xfId="7958"/>
    <cellStyle name="Normal 3 4 10 2" xfId="7959"/>
    <cellStyle name="Normal 3 4 10 2 2" xfId="7960"/>
    <cellStyle name="Normal 3 4 10 3" xfId="7961"/>
    <cellStyle name="Normal 3 4 11" xfId="7962"/>
    <cellStyle name="Normal 3 4 11 2" xfId="7963"/>
    <cellStyle name="Normal 3 4 11 2 2" xfId="7964"/>
    <cellStyle name="Normal 3 4 11 3" xfId="7965"/>
    <cellStyle name="Normal 3 4 12" xfId="7966"/>
    <cellStyle name="Normal 3 4 12 2" xfId="7967"/>
    <cellStyle name="Normal 3 4 12 2 2" xfId="7968"/>
    <cellStyle name="Normal 3 4 12 3" xfId="7969"/>
    <cellStyle name="Normal 3 4 13" xfId="7970"/>
    <cellStyle name="Normal 3 4 13 2" xfId="7971"/>
    <cellStyle name="Normal 3 4 13 2 2" xfId="7972"/>
    <cellStyle name="Normal 3 4 13 3" xfId="7973"/>
    <cellStyle name="Normal 3 4 14" xfId="7974"/>
    <cellStyle name="Normal 3 4 14 2" xfId="7975"/>
    <cellStyle name="Normal 3 4 14 2 2" xfId="7976"/>
    <cellStyle name="Normal 3 4 14 3" xfId="7977"/>
    <cellStyle name="Normal 3 4 15" xfId="7978"/>
    <cellStyle name="Normal 3 4 15 2" xfId="7979"/>
    <cellStyle name="Normal 3 4 15 2 2" xfId="7980"/>
    <cellStyle name="Normal 3 4 15 3" xfId="7981"/>
    <cellStyle name="Normal 3 4 16" xfId="7982"/>
    <cellStyle name="Normal 3 4 16 2" xfId="7983"/>
    <cellStyle name="Normal 3 4 16 2 2" xfId="7984"/>
    <cellStyle name="Normal 3 4 16 3" xfId="7985"/>
    <cellStyle name="Normal 3 4 17" xfId="7986"/>
    <cellStyle name="Normal 3 4 17 2" xfId="7987"/>
    <cellStyle name="Normal 3 4 17 2 2" xfId="7988"/>
    <cellStyle name="Normal 3 4 17 3" xfId="7989"/>
    <cellStyle name="Normal 3 4 18" xfId="7990"/>
    <cellStyle name="Normal 3 4 18 2" xfId="7991"/>
    <cellStyle name="Normal 3 4 18 2 2" xfId="7992"/>
    <cellStyle name="Normal 3 4 18 3" xfId="7993"/>
    <cellStyle name="Normal 3 4 19" xfId="7994"/>
    <cellStyle name="Normal 3 4 19 2" xfId="7995"/>
    <cellStyle name="Normal 3 4 19 2 2" xfId="7996"/>
    <cellStyle name="Normal 3 4 19 3" xfId="7997"/>
    <cellStyle name="Normal 3 4 2" xfId="1067"/>
    <cellStyle name="Normal 3 4 2 2" xfId="7998"/>
    <cellStyle name="Normal 3 4 2 2 2" xfId="7999"/>
    <cellStyle name="Normal 3 4 2 3" xfId="8000"/>
    <cellStyle name="Normal 3 4 20" xfId="8001"/>
    <cellStyle name="Normal 3 4 20 2" xfId="8002"/>
    <cellStyle name="Normal 3 4 20 2 2" xfId="8003"/>
    <cellStyle name="Normal 3 4 20 3" xfId="8004"/>
    <cellStyle name="Normal 3 4 21" xfId="8005"/>
    <cellStyle name="Normal 3 4 21 2" xfId="8006"/>
    <cellStyle name="Normal 3 4 21 2 2" xfId="8007"/>
    <cellStyle name="Normal 3 4 21 3" xfId="8008"/>
    <cellStyle name="Normal 3 4 22" xfId="8009"/>
    <cellStyle name="Normal 3 4 22 2" xfId="8010"/>
    <cellStyle name="Normal 3 4 22 2 2" xfId="8011"/>
    <cellStyle name="Normal 3 4 22 3" xfId="8012"/>
    <cellStyle name="Normal 3 4 23" xfId="8013"/>
    <cellStyle name="Normal 3 4 23 2" xfId="8014"/>
    <cellStyle name="Normal 3 4 23 2 2" xfId="8015"/>
    <cellStyle name="Normal 3 4 23 3" xfId="8016"/>
    <cellStyle name="Normal 3 4 24" xfId="8017"/>
    <cellStyle name="Normal 3 4 24 2" xfId="8018"/>
    <cellStyle name="Normal 3 4 25" xfId="8019"/>
    <cellStyle name="Normal 3 4 3" xfId="8020"/>
    <cellStyle name="Normal 3 4 3 2" xfId="8021"/>
    <cellStyle name="Normal 3 4 3 2 2" xfId="8022"/>
    <cellStyle name="Normal 3 4 3 3" xfId="8023"/>
    <cellStyle name="Normal 3 4 4" xfId="8024"/>
    <cellStyle name="Normal 3 4 4 2" xfId="8025"/>
    <cellStyle name="Normal 3 4 4 2 2" xfId="8026"/>
    <cellStyle name="Normal 3 4 4 3" xfId="8027"/>
    <cellStyle name="Normal 3 4 5" xfId="8028"/>
    <cellStyle name="Normal 3 4 5 2" xfId="8029"/>
    <cellStyle name="Normal 3 4 5 2 2" xfId="8030"/>
    <cellStyle name="Normal 3 4 5 3" xfId="8031"/>
    <cellStyle name="Normal 3 4 6" xfId="8032"/>
    <cellStyle name="Normal 3 4 6 2" xfId="8033"/>
    <cellStyle name="Normal 3 4 6 2 2" xfId="8034"/>
    <cellStyle name="Normal 3 4 6 3" xfId="8035"/>
    <cellStyle name="Normal 3 4 7" xfId="8036"/>
    <cellStyle name="Normal 3 4 7 2" xfId="8037"/>
    <cellStyle name="Normal 3 4 7 2 2" xfId="8038"/>
    <cellStyle name="Normal 3 4 7 3" xfId="8039"/>
    <cellStyle name="Normal 3 4 8" xfId="8040"/>
    <cellStyle name="Normal 3 4 8 2" xfId="8041"/>
    <cellStyle name="Normal 3 4 8 2 2" xfId="8042"/>
    <cellStyle name="Normal 3 4 8 3" xfId="8043"/>
    <cellStyle name="Normal 3 4 9" xfId="8044"/>
    <cellStyle name="Normal 3 4 9 2" xfId="8045"/>
    <cellStyle name="Normal 3 4 9 2 2" xfId="8046"/>
    <cellStyle name="Normal 3 4 9 3" xfId="8047"/>
    <cellStyle name="Normal 3 40" xfId="8048"/>
    <cellStyle name="Normal 3 40 2" xfId="8049"/>
    <cellStyle name="Normal 3 40 2 2" xfId="8050"/>
    <cellStyle name="Normal 3 40 3" xfId="8051"/>
    <cellStyle name="Normal 3 41" xfId="8052"/>
    <cellStyle name="Normal 3 41 2" xfId="8053"/>
    <cellStyle name="Normal 3 41 2 2" xfId="8054"/>
    <cellStyle name="Normal 3 41 3" xfId="8055"/>
    <cellStyle name="Normal 3 42" xfId="8056"/>
    <cellStyle name="Normal 3 42 2" xfId="8057"/>
    <cellStyle name="Normal 3 42 2 2" xfId="8058"/>
    <cellStyle name="Normal 3 42 3" xfId="8059"/>
    <cellStyle name="Normal 3 43" xfId="8060"/>
    <cellStyle name="Normal 3 43 2" xfId="8061"/>
    <cellStyle name="Normal 3 43 2 2" xfId="8062"/>
    <cellStyle name="Normal 3 43 3" xfId="8063"/>
    <cellStyle name="Normal 3 44" xfId="8064"/>
    <cellStyle name="Normal 3 44 2" xfId="8065"/>
    <cellStyle name="Normal 3 44 2 2" xfId="8066"/>
    <cellStyle name="Normal 3 44 3" xfId="8067"/>
    <cellStyle name="Normal 3 45" xfId="8068"/>
    <cellStyle name="Normal 3 45 2" xfId="8069"/>
    <cellStyle name="Normal 3 45 2 2" xfId="8070"/>
    <cellStyle name="Normal 3 45 3" xfId="8071"/>
    <cellStyle name="Normal 3 46" xfId="8072"/>
    <cellStyle name="Normal 3 46 2" xfId="8073"/>
    <cellStyle name="Normal 3 46 2 2" xfId="8074"/>
    <cellStyle name="Normal 3 46 3" xfId="8075"/>
    <cellStyle name="Normal 3 47" xfId="8076"/>
    <cellStyle name="Normal 3 47 2" xfId="8077"/>
    <cellStyle name="Normal 3 47 2 2" xfId="8078"/>
    <cellStyle name="Normal 3 47 3" xfId="8079"/>
    <cellStyle name="Normal 3 48" xfId="8080"/>
    <cellStyle name="Normal 3 48 2" xfId="8081"/>
    <cellStyle name="Normal 3 48 2 2" xfId="8082"/>
    <cellStyle name="Normal 3 48 3" xfId="8083"/>
    <cellStyle name="Normal 3 49" xfId="8084"/>
    <cellStyle name="Normal 3 49 2" xfId="8085"/>
    <cellStyle name="Normal 3 49 2 2" xfId="8086"/>
    <cellStyle name="Normal 3 49 3" xfId="8087"/>
    <cellStyle name="Normal 3 5" xfId="1068"/>
    <cellStyle name="Normal 3 5 10" xfId="8088"/>
    <cellStyle name="Normal 3 5 10 2" xfId="8089"/>
    <cellStyle name="Normal 3 5 10 2 2" xfId="8090"/>
    <cellStyle name="Normal 3 5 10 3" xfId="8091"/>
    <cellStyle name="Normal 3 5 11" xfId="8092"/>
    <cellStyle name="Normal 3 5 11 2" xfId="8093"/>
    <cellStyle name="Normal 3 5 11 2 2" xfId="8094"/>
    <cellStyle name="Normal 3 5 11 3" xfId="8095"/>
    <cellStyle name="Normal 3 5 12" xfId="8096"/>
    <cellStyle name="Normal 3 5 12 2" xfId="8097"/>
    <cellStyle name="Normal 3 5 12 2 2" xfId="8098"/>
    <cellStyle name="Normal 3 5 12 3" xfId="8099"/>
    <cellStyle name="Normal 3 5 13" xfId="8100"/>
    <cellStyle name="Normal 3 5 13 2" xfId="8101"/>
    <cellStyle name="Normal 3 5 13 2 2" xfId="8102"/>
    <cellStyle name="Normal 3 5 13 3" xfId="8103"/>
    <cellStyle name="Normal 3 5 14" xfId="8104"/>
    <cellStyle name="Normal 3 5 14 2" xfId="8105"/>
    <cellStyle name="Normal 3 5 14 2 2" xfId="8106"/>
    <cellStyle name="Normal 3 5 14 3" xfId="8107"/>
    <cellStyle name="Normal 3 5 15" xfId="8108"/>
    <cellStyle name="Normal 3 5 15 2" xfId="8109"/>
    <cellStyle name="Normal 3 5 15 2 2" xfId="8110"/>
    <cellStyle name="Normal 3 5 15 3" xfId="8111"/>
    <cellStyle name="Normal 3 5 16" xfId="8112"/>
    <cellStyle name="Normal 3 5 16 2" xfId="8113"/>
    <cellStyle name="Normal 3 5 16 2 2" xfId="8114"/>
    <cellStyle name="Normal 3 5 16 3" xfId="8115"/>
    <cellStyle name="Normal 3 5 17" xfId="8116"/>
    <cellStyle name="Normal 3 5 17 2" xfId="8117"/>
    <cellStyle name="Normal 3 5 17 2 2" xfId="8118"/>
    <cellStyle name="Normal 3 5 17 3" xfId="8119"/>
    <cellStyle name="Normal 3 5 18" xfId="8120"/>
    <cellStyle name="Normal 3 5 18 2" xfId="8121"/>
    <cellStyle name="Normal 3 5 18 2 2" xfId="8122"/>
    <cellStyle name="Normal 3 5 18 3" xfId="8123"/>
    <cellStyle name="Normal 3 5 19" xfId="8124"/>
    <cellStyle name="Normal 3 5 19 2" xfId="8125"/>
    <cellStyle name="Normal 3 5 19 2 2" xfId="8126"/>
    <cellStyle name="Normal 3 5 19 3" xfId="8127"/>
    <cellStyle name="Normal 3 5 2" xfId="8128"/>
    <cellStyle name="Normal 3 5 2 2" xfId="8129"/>
    <cellStyle name="Normal 3 5 2 2 2" xfId="8130"/>
    <cellStyle name="Normal 3 5 2 3" xfId="8131"/>
    <cellStyle name="Normal 3 5 20" xfId="8132"/>
    <cellStyle name="Normal 3 5 20 2" xfId="8133"/>
    <cellStyle name="Normal 3 5 20 2 2" xfId="8134"/>
    <cellStyle name="Normal 3 5 20 3" xfId="8135"/>
    <cellStyle name="Normal 3 5 21" xfId="8136"/>
    <cellStyle name="Normal 3 5 21 2" xfId="8137"/>
    <cellStyle name="Normal 3 5 21 2 2" xfId="8138"/>
    <cellStyle name="Normal 3 5 21 3" xfId="8139"/>
    <cellStyle name="Normal 3 5 22" xfId="8140"/>
    <cellStyle name="Normal 3 5 22 2" xfId="8141"/>
    <cellStyle name="Normal 3 5 22 2 2" xfId="8142"/>
    <cellStyle name="Normal 3 5 22 3" xfId="8143"/>
    <cellStyle name="Normal 3 5 23" xfId="8144"/>
    <cellStyle name="Normal 3 5 23 2" xfId="8145"/>
    <cellStyle name="Normal 3 5 23 2 2" xfId="8146"/>
    <cellStyle name="Normal 3 5 23 3" xfId="8147"/>
    <cellStyle name="Normal 3 5 24" xfId="8148"/>
    <cellStyle name="Normal 3 5 24 2" xfId="8149"/>
    <cellStyle name="Normal 3 5 25" xfId="8150"/>
    <cellStyle name="Normal 3 5 3" xfId="8151"/>
    <cellStyle name="Normal 3 5 3 2" xfId="8152"/>
    <cellStyle name="Normal 3 5 3 2 2" xfId="8153"/>
    <cellStyle name="Normal 3 5 3 3" xfId="8154"/>
    <cellStyle name="Normal 3 5 4" xfId="8155"/>
    <cellStyle name="Normal 3 5 4 2" xfId="8156"/>
    <cellStyle name="Normal 3 5 4 2 2" xfId="8157"/>
    <cellStyle name="Normal 3 5 4 3" xfId="8158"/>
    <cellStyle name="Normal 3 5 5" xfId="8159"/>
    <cellStyle name="Normal 3 5 5 2" xfId="8160"/>
    <cellStyle name="Normal 3 5 5 2 2" xfId="8161"/>
    <cellStyle name="Normal 3 5 5 3" xfId="8162"/>
    <cellStyle name="Normal 3 5 6" xfId="8163"/>
    <cellStyle name="Normal 3 5 6 2" xfId="8164"/>
    <cellStyle name="Normal 3 5 6 2 2" xfId="8165"/>
    <cellStyle name="Normal 3 5 6 3" xfId="8166"/>
    <cellStyle name="Normal 3 5 7" xfId="8167"/>
    <cellStyle name="Normal 3 5 7 2" xfId="8168"/>
    <cellStyle name="Normal 3 5 7 2 2" xfId="8169"/>
    <cellStyle name="Normal 3 5 7 3" xfId="8170"/>
    <cellStyle name="Normal 3 5 8" xfId="8171"/>
    <cellStyle name="Normal 3 5 8 2" xfId="8172"/>
    <cellStyle name="Normal 3 5 8 2 2" xfId="8173"/>
    <cellStyle name="Normal 3 5 8 3" xfId="8174"/>
    <cellStyle name="Normal 3 5 9" xfId="8175"/>
    <cellStyle name="Normal 3 5 9 2" xfId="8176"/>
    <cellStyle name="Normal 3 5 9 2 2" xfId="8177"/>
    <cellStyle name="Normal 3 5 9 3" xfId="8178"/>
    <cellStyle name="Normal 3 50" xfId="8179"/>
    <cellStyle name="Normal 3 50 2" xfId="8180"/>
    <cellStyle name="Normal 3 50 2 2" xfId="8181"/>
    <cellStyle name="Normal 3 50 3" xfId="8182"/>
    <cellStyle name="Normal 3 51" xfId="8183"/>
    <cellStyle name="Normal 3 51 2" xfId="8184"/>
    <cellStyle name="Normal 3 51 2 2" xfId="8185"/>
    <cellStyle name="Normal 3 51 3" xfId="8186"/>
    <cellStyle name="Normal 3 52" xfId="8187"/>
    <cellStyle name="Normal 3 52 2" xfId="8188"/>
    <cellStyle name="Normal 3 52 2 2" xfId="8189"/>
    <cellStyle name="Normal 3 52 3" xfId="8190"/>
    <cellStyle name="Normal 3 53" xfId="8191"/>
    <cellStyle name="Normal 3 53 2" xfId="8192"/>
    <cellStyle name="Normal 3 53 2 2" xfId="8193"/>
    <cellStyle name="Normal 3 53 3" xfId="8194"/>
    <cellStyle name="Normal 3 54" xfId="8195"/>
    <cellStyle name="Normal 3 54 2" xfId="8196"/>
    <cellStyle name="Normal 3 54 2 2" xfId="8197"/>
    <cellStyle name="Normal 3 54 3" xfId="8198"/>
    <cellStyle name="Normal 3 55" xfId="8199"/>
    <cellStyle name="Normal 3 55 2" xfId="8200"/>
    <cellStyle name="Normal 3 55 2 2" xfId="8201"/>
    <cellStyle name="Normal 3 55 3" xfId="8202"/>
    <cellStyle name="Normal 3 56" xfId="8203"/>
    <cellStyle name="Normal 3 56 2" xfId="8204"/>
    <cellStyle name="Normal 3 56 2 2" xfId="8205"/>
    <cellStyle name="Normal 3 56 3" xfId="8206"/>
    <cellStyle name="Normal 3 57" xfId="8207"/>
    <cellStyle name="Normal 3 57 2" xfId="8208"/>
    <cellStyle name="Normal 3 57 2 2" xfId="8209"/>
    <cellStyle name="Normal 3 57 3" xfId="8210"/>
    <cellStyle name="Normal 3 58" xfId="8211"/>
    <cellStyle name="Normal 3 58 2" xfId="8212"/>
    <cellStyle name="Normal 3 58 2 2" xfId="8213"/>
    <cellStyle name="Normal 3 58 3" xfId="8214"/>
    <cellStyle name="Normal 3 59" xfId="8215"/>
    <cellStyle name="Normal 3 59 2" xfId="8216"/>
    <cellStyle name="Normal 3 59 2 2" xfId="8217"/>
    <cellStyle name="Normal 3 59 3" xfId="8218"/>
    <cellStyle name="Normal 3 6" xfId="1069"/>
    <cellStyle name="Normal 3 6 10" xfId="8219"/>
    <cellStyle name="Normal 3 6 10 2" xfId="8220"/>
    <cellStyle name="Normal 3 6 10 2 2" xfId="8221"/>
    <cellStyle name="Normal 3 6 10 3" xfId="8222"/>
    <cellStyle name="Normal 3 6 11" xfId="8223"/>
    <cellStyle name="Normal 3 6 11 2" xfId="8224"/>
    <cellStyle name="Normal 3 6 11 2 2" xfId="8225"/>
    <cellStyle name="Normal 3 6 11 3" xfId="8226"/>
    <cellStyle name="Normal 3 6 12" xfId="8227"/>
    <cellStyle name="Normal 3 6 12 2" xfId="8228"/>
    <cellStyle name="Normal 3 6 12 2 2" xfId="8229"/>
    <cellStyle name="Normal 3 6 12 3" xfId="8230"/>
    <cellStyle name="Normal 3 6 13" xfId="8231"/>
    <cellStyle name="Normal 3 6 13 2" xfId="8232"/>
    <cellStyle name="Normal 3 6 13 2 2" xfId="8233"/>
    <cellStyle name="Normal 3 6 13 3" xfId="8234"/>
    <cellStyle name="Normal 3 6 14" xfId="8235"/>
    <cellStyle name="Normal 3 6 14 2" xfId="8236"/>
    <cellStyle name="Normal 3 6 14 2 2" xfId="8237"/>
    <cellStyle name="Normal 3 6 14 3" xfId="8238"/>
    <cellStyle name="Normal 3 6 15" xfId="8239"/>
    <cellStyle name="Normal 3 6 15 2" xfId="8240"/>
    <cellStyle name="Normal 3 6 15 2 2" xfId="8241"/>
    <cellStyle name="Normal 3 6 15 3" xfId="8242"/>
    <cellStyle name="Normal 3 6 16" xfId="8243"/>
    <cellStyle name="Normal 3 6 16 2" xfId="8244"/>
    <cellStyle name="Normal 3 6 16 2 2" xfId="8245"/>
    <cellStyle name="Normal 3 6 16 3" xfId="8246"/>
    <cellStyle name="Normal 3 6 17" xfId="8247"/>
    <cellStyle name="Normal 3 6 17 2" xfId="8248"/>
    <cellStyle name="Normal 3 6 17 2 2" xfId="8249"/>
    <cellStyle name="Normal 3 6 17 3" xfId="8250"/>
    <cellStyle name="Normal 3 6 18" xfId="8251"/>
    <cellStyle name="Normal 3 6 18 2" xfId="8252"/>
    <cellStyle name="Normal 3 6 18 2 2" xfId="8253"/>
    <cellStyle name="Normal 3 6 18 3" xfId="8254"/>
    <cellStyle name="Normal 3 6 19" xfId="8255"/>
    <cellStyle name="Normal 3 6 19 2" xfId="8256"/>
    <cellStyle name="Normal 3 6 19 2 2" xfId="8257"/>
    <cellStyle name="Normal 3 6 19 3" xfId="8258"/>
    <cellStyle name="Normal 3 6 2" xfId="8259"/>
    <cellStyle name="Normal 3 6 2 2" xfId="8260"/>
    <cellStyle name="Normal 3 6 2 2 2" xfId="8261"/>
    <cellStyle name="Normal 3 6 2 3" xfId="8262"/>
    <cellStyle name="Normal 3 6 20" xfId="8263"/>
    <cellStyle name="Normal 3 6 20 2" xfId="8264"/>
    <cellStyle name="Normal 3 6 20 2 2" xfId="8265"/>
    <cellStyle name="Normal 3 6 20 3" xfId="8266"/>
    <cellStyle name="Normal 3 6 21" xfId="8267"/>
    <cellStyle name="Normal 3 6 21 2" xfId="8268"/>
    <cellStyle name="Normal 3 6 21 2 2" xfId="8269"/>
    <cellStyle name="Normal 3 6 21 3" xfId="8270"/>
    <cellStyle name="Normal 3 6 22" xfId="8271"/>
    <cellStyle name="Normal 3 6 22 2" xfId="8272"/>
    <cellStyle name="Normal 3 6 22 2 2" xfId="8273"/>
    <cellStyle name="Normal 3 6 22 3" xfId="8274"/>
    <cellStyle name="Normal 3 6 23" xfId="8275"/>
    <cellStyle name="Normal 3 6 23 2" xfId="8276"/>
    <cellStyle name="Normal 3 6 23 2 2" xfId="8277"/>
    <cellStyle name="Normal 3 6 23 3" xfId="8278"/>
    <cellStyle name="Normal 3 6 24" xfId="8279"/>
    <cellStyle name="Normal 3 6 24 2" xfId="8280"/>
    <cellStyle name="Normal 3 6 25" xfId="8281"/>
    <cellStyle name="Normal 3 6 3" xfId="8282"/>
    <cellStyle name="Normal 3 6 3 2" xfId="8283"/>
    <cellStyle name="Normal 3 6 3 2 2" xfId="8284"/>
    <cellStyle name="Normal 3 6 3 3" xfId="8285"/>
    <cellStyle name="Normal 3 6 4" xfId="8286"/>
    <cellStyle name="Normal 3 6 4 2" xfId="8287"/>
    <cellStyle name="Normal 3 6 4 2 2" xfId="8288"/>
    <cellStyle name="Normal 3 6 4 3" xfId="8289"/>
    <cellStyle name="Normal 3 6 5" xfId="8290"/>
    <cellStyle name="Normal 3 6 5 2" xfId="8291"/>
    <cellStyle name="Normal 3 6 5 2 2" xfId="8292"/>
    <cellStyle name="Normal 3 6 5 3" xfId="8293"/>
    <cellStyle name="Normal 3 6 6" xfId="8294"/>
    <cellStyle name="Normal 3 6 6 2" xfId="8295"/>
    <cellStyle name="Normal 3 6 6 2 2" xfId="8296"/>
    <cellStyle name="Normal 3 6 6 3" xfId="8297"/>
    <cellStyle name="Normal 3 6 7" xfId="8298"/>
    <cellStyle name="Normal 3 6 7 2" xfId="8299"/>
    <cellStyle name="Normal 3 6 7 2 2" xfId="8300"/>
    <cellStyle name="Normal 3 6 7 3" xfId="8301"/>
    <cellStyle name="Normal 3 6 8" xfId="8302"/>
    <cellStyle name="Normal 3 6 8 2" xfId="8303"/>
    <cellStyle name="Normal 3 6 8 2 2" xfId="8304"/>
    <cellStyle name="Normal 3 6 8 3" xfId="8305"/>
    <cellStyle name="Normal 3 6 9" xfId="8306"/>
    <cellStyle name="Normal 3 6 9 2" xfId="8307"/>
    <cellStyle name="Normal 3 6 9 2 2" xfId="8308"/>
    <cellStyle name="Normal 3 6 9 3" xfId="8309"/>
    <cellStyle name="Normal 3 60" xfId="8310"/>
    <cellStyle name="Normal 3 60 2" xfId="8311"/>
    <cellStyle name="Normal 3 60 2 2" xfId="8312"/>
    <cellStyle name="Normal 3 60 3" xfId="8313"/>
    <cellStyle name="Normal 3 61" xfId="8314"/>
    <cellStyle name="Normal 3 61 2" xfId="8315"/>
    <cellStyle name="Normal 3 61 2 2" xfId="8316"/>
    <cellStyle name="Normal 3 61 3" xfId="8317"/>
    <cellStyle name="Normal 3 62" xfId="8318"/>
    <cellStyle name="Normal 3 62 2" xfId="8319"/>
    <cellStyle name="Normal 3 62 2 2" xfId="8320"/>
    <cellStyle name="Normal 3 62 3" xfId="8321"/>
    <cellStyle name="Normal 3 63" xfId="8322"/>
    <cellStyle name="Normal 3 63 2" xfId="8323"/>
    <cellStyle name="Normal 3 63 2 2" xfId="8324"/>
    <cellStyle name="Normal 3 63 3" xfId="8325"/>
    <cellStyle name="Normal 3 64" xfId="8326"/>
    <cellStyle name="Normal 3 64 2" xfId="8327"/>
    <cellStyle name="Normal 3 64 2 2" xfId="8328"/>
    <cellStyle name="Normal 3 64 3" xfId="8329"/>
    <cellStyle name="Normal 3 65" xfId="8330"/>
    <cellStyle name="Normal 3 65 2" xfId="8331"/>
    <cellStyle name="Normal 3 65 2 2" xfId="8332"/>
    <cellStyle name="Normal 3 65 3" xfId="8333"/>
    <cellStyle name="Normal 3 66" xfId="1070"/>
    <cellStyle name="Normal 3 67" xfId="8334"/>
    <cellStyle name="Normal 3 68" xfId="8335"/>
    <cellStyle name="Normal 3 7" xfId="8336"/>
    <cellStyle name="Normal 3 7 10" xfId="8337"/>
    <cellStyle name="Normal 3 7 10 2" xfId="8338"/>
    <cellStyle name="Normal 3 7 10 2 2" xfId="8339"/>
    <cellStyle name="Normal 3 7 10 3" xfId="8340"/>
    <cellStyle name="Normal 3 7 11" xfId="8341"/>
    <cellStyle name="Normal 3 7 11 2" xfId="8342"/>
    <cellStyle name="Normal 3 7 11 2 2" xfId="8343"/>
    <cellStyle name="Normal 3 7 11 3" xfId="8344"/>
    <cellStyle name="Normal 3 7 12" xfId="8345"/>
    <cellStyle name="Normal 3 7 12 2" xfId="8346"/>
    <cellStyle name="Normal 3 7 12 2 2" xfId="8347"/>
    <cellStyle name="Normal 3 7 12 3" xfId="8348"/>
    <cellStyle name="Normal 3 7 13" xfId="8349"/>
    <cellStyle name="Normal 3 7 13 2" xfId="8350"/>
    <cellStyle name="Normal 3 7 13 2 2" xfId="8351"/>
    <cellStyle name="Normal 3 7 13 3" xfId="8352"/>
    <cellStyle name="Normal 3 7 14" xfId="8353"/>
    <cellStyle name="Normal 3 7 14 2" xfId="8354"/>
    <cellStyle name="Normal 3 7 14 2 2" xfId="8355"/>
    <cellStyle name="Normal 3 7 14 3" xfId="8356"/>
    <cellStyle name="Normal 3 7 15" xfId="8357"/>
    <cellStyle name="Normal 3 7 15 2" xfId="8358"/>
    <cellStyle name="Normal 3 7 15 2 2" xfId="8359"/>
    <cellStyle name="Normal 3 7 15 3" xfId="8360"/>
    <cellStyle name="Normal 3 7 16" xfId="8361"/>
    <cellStyle name="Normal 3 7 16 2" xfId="8362"/>
    <cellStyle name="Normal 3 7 16 2 2" xfId="8363"/>
    <cellStyle name="Normal 3 7 16 3" xfId="8364"/>
    <cellStyle name="Normal 3 7 17" xfId="8365"/>
    <cellStyle name="Normal 3 7 17 2" xfId="8366"/>
    <cellStyle name="Normal 3 7 17 2 2" xfId="8367"/>
    <cellStyle name="Normal 3 7 17 3" xfId="8368"/>
    <cellStyle name="Normal 3 7 18" xfId="8369"/>
    <cellStyle name="Normal 3 7 18 2" xfId="8370"/>
    <cellStyle name="Normal 3 7 18 2 2" xfId="8371"/>
    <cellStyle name="Normal 3 7 18 3" xfId="8372"/>
    <cellStyle name="Normal 3 7 19" xfId="8373"/>
    <cellStyle name="Normal 3 7 19 2" xfId="8374"/>
    <cellStyle name="Normal 3 7 19 2 2" xfId="8375"/>
    <cellStyle name="Normal 3 7 19 3" xfId="8376"/>
    <cellStyle name="Normal 3 7 2" xfId="8377"/>
    <cellStyle name="Normal 3 7 2 2" xfId="8378"/>
    <cellStyle name="Normal 3 7 2 2 2" xfId="8379"/>
    <cellStyle name="Normal 3 7 2 3" xfId="8380"/>
    <cellStyle name="Normal 3 7 20" xfId="8381"/>
    <cellStyle name="Normal 3 7 20 2" xfId="8382"/>
    <cellStyle name="Normal 3 7 20 2 2" xfId="8383"/>
    <cellStyle name="Normal 3 7 20 3" xfId="8384"/>
    <cellStyle name="Normal 3 7 21" xfId="8385"/>
    <cellStyle name="Normal 3 7 21 2" xfId="8386"/>
    <cellStyle name="Normal 3 7 21 2 2" xfId="8387"/>
    <cellStyle name="Normal 3 7 21 3" xfId="8388"/>
    <cellStyle name="Normal 3 7 22" xfId="8389"/>
    <cellStyle name="Normal 3 7 22 2" xfId="8390"/>
    <cellStyle name="Normal 3 7 22 2 2" xfId="8391"/>
    <cellStyle name="Normal 3 7 22 3" xfId="8392"/>
    <cellStyle name="Normal 3 7 23" xfId="8393"/>
    <cellStyle name="Normal 3 7 23 2" xfId="8394"/>
    <cellStyle name="Normal 3 7 23 2 2" xfId="8395"/>
    <cellStyle name="Normal 3 7 23 3" xfId="8396"/>
    <cellStyle name="Normal 3 7 24" xfId="8397"/>
    <cellStyle name="Normal 3 7 24 2" xfId="8398"/>
    <cellStyle name="Normal 3 7 25" xfId="8399"/>
    <cellStyle name="Normal 3 7 3" xfId="8400"/>
    <cellStyle name="Normal 3 7 3 2" xfId="8401"/>
    <cellStyle name="Normal 3 7 3 2 2" xfId="8402"/>
    <cellStyle name="Normal 3 7 3 3" xfId="8403"/>
    <cellStyle name="Normal 3 7 4" xfId="8404"/>
    <cellStyle name="Normal 3 7 4 2" xfId="8405"/>
    <cellStyle name="Normal 3 7 4 2 2" xfId="8406"/>
    <cellStyle name="Normal 3 7 4 3" xfId="8407"/>
    <cellStyle name="Normal 3 7 5" xfId="8408"/>
    <cellStyle name="Normal 3 7 5 2" xfId="8409"/>
    <cellStyle name="Normal 3 7 5 2 2" xfId="8410"/>
    <cellStyle name="Normal 3 7 5 3" xfId="8411"/>
    <cellStyle name="Normal 3 7 6" xfId="8412"/>
    <cellStyle name="Normal 3 7 6 2" xfId="8413"/>
    <cellStyle name="Normal 3 7 6 2 2" xfId="8414"/>
    <cellStyle name="Normal 3 7 6 3" xfId="8415"/>
    <cellStyle name="Normal 3 7 7" xfId="8416"/>
    <cellStyle name="Normal 3 7 7 2" xfId="8417"/>
    <cellStyle name="Normal 3 7 7 2 2" xfId="8418"/>
    <cellStyle name="Normal 3 7 7 3" xfId="8419"/>
    <cellStyle name="Normal 3 7 8" xfId="8420"/>
    <cellStyle name="Normal 3 7 8 2" xfId="8421"/>
    <cellStyle name="Normal 3 7 8 2 2" xfId="8422"/>
    <cellStyle name="Normal 3 7 8 3" xfId="8423"/>
    <cellStyle name="Normal 3 7 9" xfId="8424"/>
    <cellStyle name="Normal 3 7 9 2" xfId="8425"/>
    <cellStyle name="Normal 3 7 9 2 2" xfId="8426"/>
    <cellStyle name="Normal 3 7 9 3" xfId="8427"/>
    <cellStyle name="Normal 3 8" xfId="8428"/>
    <cellStyle name="Normal 3 8 10" xfId="8429"/>
    <cellStyle name="Normal 3 8 10 2" xfId="8430"/>
    <cellStyle name="Normal 3 8 10 2 2" xfId="8431"/>
    <cellStyle name="Normal 3 8 10 3" xfId="8432"/>
    <cellStyle name="Normal 3 8 11" xfId="8433"/>
    <cellStyle name="Normal 3 8 11 2" xfId="8434"/>
    <cellStyle name="Normal 3 8 11 2 2" xfId="8435"/>
    <cellStyle name="Normal 3 8 11 3" xfId="8436"/>
    <cellStyle name="Normal 3 8 12" xfId="8437"/>
    <cellStyle name="Normal 3 8 12 2" xfId="8438"/>
    <cellStyle name="Normal 3 8 12 2 2" xfId="8439"/>
    <cellStyle name="Normal 3 8 12 3" xfId="8440"/>
    <cellStyle name="Normal 3 8 13" xfId="8441"/>
    <cellStyle name="Normal 3 8 13 2" xfId="8442"/>
    <cellStyle name="Normal 3 8 13 2 2" xfId="8443"/>
    <cellStyle name="Normal 3 8 13 3" xfId="8444"/>
    <cellStyle name="Normal 3 8 14" xfId="8445"/>
    <cellStyle name="Normal 3 8 14 2" xfId="8446"/>
    <cellStyle name="Normal 3 8 14 2 2" xfId="8447"/>
    <cellStyle name="Normal 3 8 14 3" xfId="8448"/>
    <cellStyle name="Normal 3 8 15" xfId="8449"/>
    <cellStyle name="Normal 3 8 15 2" xfId="8450"/>
    <cellStyle name="Normal 3 8 15 2 2" xfId="8451"/>
    <cellStyle name="Normal 3 8 15 3" xfId="8452"/>
    <cellStyle name="Normal 3 8 16" xfId="8453"/>
    <cellStyle name="Normal 3 8 16 2" xfId="8454"/>
    <cellStyle name="Normal 3 8 16 2 2" xfId="8455"/>
    <cellStyle name="Normal 3 8 16 3" xfId="8456"/>
    <cellStyle name="Normal 3 8 17" xfId="8457"/>
    <cellStyle name="Normal 3 8 17 2" xfId="8458"/>
    <cellStyle name="Normal 3 8 17 2 2" xfId="8459"/>
    <cellStyle name="Normal 3 8 17 3" xfId="8460"/>
    <cellStyle name="Normal 3 8 18" xfId="8461"/>
    <cellStyle name="Normal 3 8 18 2" xfId="8462"/>
    <cellStyle name="Normal 3 8 18 2 2" xfId="8463"/>
    <cellStyle name="Normal 3 8 18 3" xfId="8464"/>
    <cellStyle name="Normal 3 8 19" xfId="8465"/>
    <cellStyle name="Normal 3 8 19 2" xfId="8466"/>
    <cellStyle name="Normal 3 8 19 2 2" xfId="8467"/>
    <cellStyle name="Normal 3 8 19 3" xfId="8468"/>
    <cellStyle name="Normal 3 8 2" xfId="8469"/>
    <cellStyle name="Normal 3 8 2 2" xfId="8470"/>
    <cellStyle name="Normal 3 8 2 2 2" xfId="8471"/>
    <cellStyle name="Normal 3 8 2 3" xfId="8472"/>
    <cellStyle name="Normal 3 8 20" xfId="8473"/>
    <cellStyle name="Normal 3 8 20 2" xfId="8474"/>
    <cellStyle name="Normal 3 8 20 2 2" xfId="8475"/>
    <cellStyle name="Normal 3 8 20 3" xfId="8476"/>
    <cellStyle name="Normal 3 8 21" xfId="8477"/>
    <cellStyle name="Normal 3 8 21 2" xfId="8478"/>
    <cellStyle name="Normal 3 8 21 2 2" xfId="8479"/>
    <cellStyle name="Normal 3 8 21 3" xfId="8480"/>
    <cellStyle name="Normal 3 8 22" xfId="8481"/>
    <cellStyle name="Normal 3 8 22 2" xfId="8482"/>
    <cellStyle name="Normal 3 8 22 2 2" xfId="8483"/>
    <cellStyle name="Normal 3 8 22 3" xfId="8484"/>
    <cellStyle name="Normal 3 8 23" xfId="8485"/>
    <cellStyle name="Normal 3 8 23 2" xfId="8486"/>
    <cellStyle name="Normal 3 8 23 2 2" xfId="8487"/>
    <cellStyle name="Normal 3 8 23 3" xfId="8488"/>
    <cellStyle name="Normal 3 8 24" xfId="8489"/>
    <cellStyle name="Normal 3 8 24 2" xfId="8490"/>
    <cellStyle name="Normal 3 8 25" xfId="8491"/>
    <cellStyle name="Normal 3 8 3" xfId="8492"/>
    <cellStyle name="Normal 3 8 3 2" xfId="8493"/>
    <cellStyle name="Normal 3 8 3 2 2" xfId="8494"/>
    <cellStyle name="Normal 3 8 3 3" xfId="8495"/>
    <cellStyle name="Normal 3 8 4" xfId="8496"/>
    <cellStyle name="Normal 3 8 4 2" xfId="8497"/>
    <cellStyle name="Normal 3 8 4 2 2" xfId="8498"/>
    <cellStyle name="Normal 3 8 4 3" xfId="8499"/>
    <cellStyle name="Normal 3 8 5" xfId="8500"/>
    <cellStyle name="Normal 3 8 5 2" xfId="8501"/>
    <cellStyle name="Normal 3 8 5 2 2" xfId="8502"/>
    <cellStyle name="Normal 3 8 5 3" xfId="8503"/>
    <cellStyle name="Normal 3 8 6" xfId="8504"/>
    <cellStyle name="Normal 3 8 6 2" xfId="8505"/>
    <cellStyle name="Normal 3 8 6 2 2" xfId="8506"/>
    <cellStyle name="Normal 3 8 6 3" xfId="8507"/>
    <cellStyle name="Normal 3 8 7" xfId="8508"/>
    <cellStyle name="Normal 3 8 7 2" xfId="8509"/>
    <cellStyle name="Normal 3 8 7 2 2" xfId="8510"/>
    <cellStyle name="Normal 3 8 7 3" xfId="8511"/>
    <cellStyle name="Normal 3 8 8" xfId="8512"/>
    <cellStyle name="Normal 3 8 8 2" xfId="8513"/>
    <cellStyle name="Normal 3 8 8 2 2" xfId="8514"/>
    <cellStyle name="Normal 3 8 8 3" xfId="8515"/>
    <cellStyle name="Normal 3 8 9" xfId="8516"/>
    <cellStyle name="Normal 3 8 9 2" xfId="8517"/>
    <cellStyle name="Normal 3 8 9 2 2" xfId="8518"/>
    <cellStyle name="Normal 3 8 9 3" xfId="8519"/>
    <cellStyle name="Normal 3 9" xfId="8520"/>
    <cellStyle name="Normal 3 9 10" xfId="8521"/>
    <cellStyle name="Normal 3 9 10 2" xfId="8522"/>
    <cellStyle name="Normal 3 9 10 2 2" xfId="8523"/>
    <cellStyle name="Normal 3 9 10 3" xfId="8524"/>
    <cellStyle name="Normal 3 9 11" xfId="8525"/>
    <cellStyle name="Normal 3 9 11 2" xfId="8526"/>
    <cellStyle name="Normal 3 9 11 2 2" xfId="8527"/>
    <cellStyle name="Normal 3 9 11 3" xfId="8528"/>
    <cellStyle name="Normal 3 9 12" xfId="8529"/>
    <cellStyle name="Normal 3 9 12 2" xfId="8530"/>
    <cellStyle name="Normal 3 9 12 2 2" xfId="8531"/>
    <cellStyle name="Normal 3 9 12 3" xfId="8532"/>
    <cellStyle name="Normal 3 9 13" xfId="8533"/>
    <cellStyle name="Normal 3 9 13 2" xfId="8534"/>
    <cellStyle name="Normal 3 9 13 2 2" xfId="8535"/>
    <cellStyle name="Normal 3 9 13 3" xfId="8536"/>
    <cellStyle name="Normal 3 9 14" xfId="8537"/>
    <cellStyle name="Normal 3 9 14 2" xfId="8538"/>
    <cellStyle name="Normal 3 9 14 2 2" xfId="8539"/>
    <cellStyle name="Normal 3 9 14 3" xfId="8540"/>
    <cellStyle name="Normal 3 9 15" xfId="8541"/>
    <cellStyle name="Normal 3 9 15 2" xfId="8542"/>
    <cellStyle name="Normal 3 9 15 2 2" xfId="8543"/>
    <cellStyle name="Normal 3 9 15 3" xfId="8544"/>
    <cellStyle name="Normal 3 9 16" xfId="8545"/>
    <cellStyle name="Normal 3 9 16 2" xfId="8546"/>
    <cellStyle name="Normal 3 9 16 2 2" xfId="8547"/>
    <cellStyle name="Normal 3 9 16 3" xfId="8548"/>
    <cellStyle name="Normal 3 9 17" xfId="8549"/>
    <cellStyle name="Normal 3 9 17 2" xfId="8550"/>
    <cellStyle name="Normal 3 9 17 2 2" xfId="8551"/>
    <cellStyle name="Normal 3 9 17 3" xfId="8552"/>
    <cellStyle name="Normal 3 9 18" xfId="8553"/>
    <cellStyle name="Normal 3 9 18 2" xfId="8554"/>
    <cellStyle name="Normal 3 9 18 2 2" xfId="8555"/>
    <cellStyle name="Normal 3 9 18 3" xfId="8556"/>
    <cellStyle name="Normal 3 9 19" xfId="8557"/>
    <cellStyle name="Normal 3 9 19 2" xfId="8558"/>
    <cellStyle name="Normal 3 9 19 2 2" xfId="8559"/>
    <cellStyle name="Normal 3 9 19 3" xfId="8560"/>
    <cellStyle name="Normal 3 9 2" xfId="8561"/>
    <cellStyle name="Normal 3 9 2 2" xfId="8562"/>
    <cellStyle name="Normal 3 9 2 2 2" xfId="8563"/>
    <cellStyle name="Normal 3 9 2 3" xfId="8564"/>
    <cellStyle name="Normal 3 9 20" xfId="8565"/>
    <cellStyle name="Normal 3 9 20 2" xfId="8566"/>
    <cellStyle name="Normal 3 9 20 2 2" xfId="8567"/>
    <cellStyle name="Normal 3 9 20 3" xfId="8568"/>
    <cellStyle name="Normal 3 9 21" xfId="8569"/>
    <cellStyle name="Normal 3 9 21 2" xfId="8570"/>
    <cellStyle name="Normal 3 9 21 2 2" xfId="8571"/>
    <cellStyle name="Normal 3 9 21 3" xfId="8572"/>
    <cellStyle name="Normal 3 9 22" xfId="8573"/>
    <cellStyle name="Normal 3 9 22 2" xfId="8574"/>
    <cellStyle name="Normal 3 9 22 2 2" xfId="8575"/>
    <cellStyle name="Normal 3 9 22 3" xfId="8576"/>
    <cellStyle name="Normal 3 9 23" xfId="8577"/>
    <cellStyle name="Normal 3 9 23 2" xfId="8578"/>
    <cellStyle name="Normal 3 9 23 2 2" xfId="8579"/>
    <cellStyle name="Normal 3 9 23 3" xfId="8580"/>
    <cellStyle name="Normal 3 9 24" xfId="8581"/>
    <cellStyle name="Normal 3 9 24 2" xfId="8582"/>
    <cellStyle name="Normal 3 9 25" xfId="8583"/>
    <cellStyle name="Normal 3 9 3" xfId="8584"/>
    <cellStyle name="Normal 3 9 3 2" xfId="8585"/>
    <cellStyle name="Normal 3 9 3 2 2" xfId="8586"/>
    <cellStyle name="Normal 3 9 3 3" xfId="8587"/>
    <cellStyle name="Normal 3 9 4" xfId="8588"/>
    <cellStyle name="Normal 3 9 4 2" xfId="8589"/>
    <cellStyle name="Normal 3 9 4 2 2" xfId="8590"/>
    <cellStyle name="Normal 3 9 4 3" xfId="8591"/>
    <cellStyle name="Normal 3 9 5" xfId="8592"/>
    <cellStyle name="Normal 3 9 5 2" xfId="8593"/>
    <cellStyle name="Normal 3 9 5 2 2" xfId="8594"/>
    <cellStyle name="Normal 3 9 5 3" xfId="8595"/>
    <cellStyle name="Normal 3 9 6" xfId="8596"/>
    <cellStyle name="Normal 3 9 6 2" xfId="8597"/>
    <cellStyle name="Normal 3 9 6 2 2" xfId="8598"/>
    <cellStyle name="Normal 3 9 6 3" xfId="8599"/>
    <cellStyle name="Normal 3 9 7" xfId="8600"/>
    <cellStyle name="Normal 3 9 7 2" xfId="8601"/>
    <cellStyle name="Normal 3 9 7 2 2" xfId="8602"/>
    <cellStyle name="Normal 3 9 7 3" xfId="8603"/>
    <cellStyle name="Normal 3 9 8" xfId="8604"/>
    <cellStyle name="Normal 3 9 8 2" xfId="8605"/>
    <cellStyle name="Normal 3 9 8 2 2" xfId="8606"/>
    <cellStyle name="Normal 3 9 8 3" xfId="8607"/>
    <cellStyle name="Normal 3 9 9" xfId="8608"/>
    <cellStyle name="Normal 3 9 9 2" xfId="8609"/>
    <cellStyle name="Normal 3 9 9 2 2" xfId="8610"/>
    <cellStyle name="Normal 3 9 9 3" xfId="8611"/>
    <cellStyle name="Normal 30" xfId="1071"/>
    <cellStyle name="Normal 31" xfId="1072"/>
    <cellStyle name="Normal 32" xfId="1073"/>
    <cellStyle name="Normal 33" xfId="1074"/>
    <cellStyle name="Normal 34" xfId="1075"/>
    <cellStyle name="Normal 35" xfId="1076"/>
    <cellStyle name="Normal 36" xfId="1077"/>
    <cellStyle name="Normal 37" xfId="1078"/>
    <cellStyle name="Normal 38" xfId="1079"/>
    <cellStyle name="Normal 39" xfId="1080"/>
    <cellStyle name="Normal 4" xfId="26"/>
    <cellStyle name="Normal 4 2" xfId="41"/>
    <cellStyle name="Normal 4 2 2" xfId="1081"/>
    <cellStyle name="Normal 4 2 3" xfId="8612"/>
    <cellStyle name="Normal 4 2 3 2" xfId="8613"/>
    <cellStyle name="Normal 4 2 4" xfId="8614"/>
    <cellStyle name="Normal 4 3" xfId="132"/>
    <cellStyle name="Normal 4 3 2" xfId="177"/>
    <cellStyle name="Normal 4 3 2 2" xfId="1082"/>
    <cellStyle name="Normal 4 3 2 2 2" xfId="1083"/>
    <cellStyle name="Normal 4 3 2 3" xfId="1084"/>
    <cellStyle name="Normal 4 3 2 3 2" xfId="1085"/>
    <cellStyle name="Normal 4 3 2 4" xfId="1086"/>
    <cellStyle name="Normal 4 3 2 5" xfId="1087"/>
    <cellStyle name="Normal 4 3 3" xfId="184"/>
    <cellStyle name="Normal 4 3 3 2" xfId="1088"/>
    <cellStyle name="Normal 4 3 4" xfId="1089"/>
    <cellStyle name="Normal 4 3 4 2" xfId="1090"/>
    <cellStyle name="Normal 4 3 5" xfId="1091"/>
    <cellStyle name="Normal 4 3 5 2" xfId="1092"/>
    <cellStyle name="Normal 4 3 6" xfId="1093"/>
    <cellStyle name="Normal 4 3 7" xfId="1094"/>
    <cellStyle name="Normal 4 4" xfId="169"/>
    <cellStyle name="Normal 4 4 2" xfId="180"/>
    <cellStyle name="Normal 4 4 2 2" xfId="1095"/>
    <cellStyle name="Normal 4 4 2 3" xfId="1096"/>
    <cellStyle name="Normal 4 4 3" xfId="187"/>
    <cellStyle name="Normal 4 4 3 2" xfId="1097"/>
    <cellStyle name="Normal 4 4 4" xfId="1098"/>
    <cellStyle name="Normal 4 4 5" xfId="1099"/>
    <cellStyle name="Normal 4 5" xfId="66"/>
    <cellStyle name="Normal 4 5 2" xfId="176"/>
    <cellStyle name="Normal 4 5 2 2" xfId="1100"/>
    <cellStyle name="Normal 4 5 3" xfId="183"/>
    <cellStyle name="Normal 4 5 3 2" xfId="1101"/>
    <cellStyle name="Normal 4 5 4" xfId="1102"/>
    <cellStyle name="Normal 4 5 5" xfId="1103"/>
    <cellStyle name="Normal 4 6" xfId="175"/>
    <cellStyle name="Normal 4 6 2" xfId="1104"/>
    <cellStyle name="Normal 4 7" xfId="182"/>
    <cellStyle name="Normal 4 7 2" xfId="1105"/>
    <cellStyle name="Normal 4 8" xfId="1106"/>
    <cellStyle name="Normal 4 8 2" xfId="1107"/>
    <cellStyle name="Normal 4 9" xfId="1108"/>
    <cellStyle name="Normal 40" xfId="1109"/>
    <cellStyle name="Normal 41" xfId="1110"/>
    <cellStyle name="Normal 42" xfId="1111"/>
    <cellStyle name="Normal 43" xfId="1112"/>
    <cellStyle name="Normal 44" xfId="1113"/>
    <cellStyle name="Normal 45" xfId="1114"/>
    <cellStyle name="Normal 46" xfId="1115"/>
    <cellStyle name="Normal 47" xfId="1116"/>
    <cellStyle name="Normal 48" xfId="1117"/>
    <cellStyle name="Normal 48 2" xfId="1118"/>
    <cellStyle name="Normal 49" xfId="1119"/>
    <cellStyle name="Normal 5" xfId="42"/>
    <cellStyle name="Normal 5 10" xfId="8615"/>
    <cellStyle name="Normal 5 10 2" xfId="8616"/>
    <cellStyle name="Normal 5 10 2 2" xfId="8617"/>
    <cellStyle name="Normal 5 10 3" xfId="8618"/>
    <cellStyle name="Normal 5 11" xfId="8619"/>
    <cellStyle name="Normal 5 11 2" xfId="8620"/>
    <cellStyle name="Normal 5 11 2 2" xfId="8621"/>
    <cellStyle name="Normal 5 11 3" xfId="8622"/>
    <cellStyle name="Normal 5 12" xfId="8623"/>
    <cellStyle name="Normal 5 12 2" xfId="8624"/>
    <cellStyle name="Normal 5 12 2 2" xfId="8625"/>
    <cellStyle name="Normal 5 12 3" xfId="8626"/>
    <cellStyle name="Normal 5 13" xfId="8627"/>
    <cellStyle name="Normal 5 13 2" xfId="8628"/>
    <cellStyle name="Normal 5 13 2 2" xfId="8629"/>
    <cellStyle name="Normal 5 13 3" xfId="8630"/>
    <cellStyle name="Normal 5 14" xfId="8631"/>
    <cellStyle name="Normal 5 14 2" xfId="8632"/>
    <cellStyle name="Normal 5 14 2 2" xfId="8633"/>
    <cellStyle name="Normal 5 14 3" xfId="8634"/>
    <cellStyle name="Normal 5 15" xfId="8635"/>
    <cellStyle name="Normal 5 15 2" xfId="8636"/>
    <cellStyle name="Normal 5 15 2 2" xfId="8637"/>
    <cellStyle name="Normal 5 15 3" xfId="8638"/>
    <cellStyle name="Normal 5 16" xfId="8639"/>
    <cellStyle name="Normal 5 16 2" xfId="8640"/>
    <cellStyle name="Normal 5 16 2 2" xfId="8641"/>
    <cellStyle name="Normal 5 16 3" xfId="8642"/>
    <cellStyle name="Normal 5 17" xfId="8643"/>
    <cellStyle name="Normal 5 17 2" xfId="8644"/>
    <cellStyle name="Normal 5 17 2 2" xfId="8645"/>
    <cellStyle name="Normal 5 17 3" xfId="8646"/>
    <cellStyle name="Normal 5 18" xfId="8647"/>
    <cellStyle name="Normal 5 18 2" xfId="8648"/>
    <cellStyle name="Normal 5 18 2 2" xfId="8649"/>
    <cellStyle name="Normal 5 18 3" xfId="8650"/>
    <cellStyle name="Normal 5 19" xfId="8651"/>
    <cellStyle name="Normal 5 19 2" xfId="8652"/>
    <cellStyle name="Normal 5 19 2 2" xfId="8653"/>
    <cellStyle name="Normal 5 19 3" xfId="8654"/>
    <cellStyle name="Normal 5 2" xfId="43"/>
    <cellStyle name="Normal 5 2 10" xfId="8655"/>
    <cellStyle name="Normal 5 2 10 2" xfId="8656"/>
    <cellStyle name="Normal 5 2 10 2 2" xfId="8657"/>
    <cellStyle name="Normal 5 2 10 3" xfId="8658"/>
    <cellStyle name="Normal 5 2 11" xfId="8659"/>
    <cellStyle name="Normal 5 2 11 2" xfId="8660"/>
    <cellStyle name="Normal 5 2 11 2 2" xfId="8661"/>
    <cellStyle name="Normal 5 2 11 3" xfId="8662"/>
    <cellStyle name="Normal 5 2 12" xfId="8663"/>
    <cellStyle name="Normal 5 2 12 2" xfId="8664"/>
    <cellStyle name="Normal 5 2 12 2 2" xfId="8665"/>
    <cellStyle name="Normal 5 2 12 3" xfId="8666"/>
    <cellStyle name="Normal 5 2 13" xfId="8667"/>
    <cellStyle name="Normal 5 2 13 2" xfId="8668"/>
    <cellStyle name="Normal 5 2 13 2 2" xfId="8669"/>
    <cellStyle name="Normal 5 2 13 3" xfId="8670"/>
    <cellStyle name="Normal 5 2 14" xfId="8671"/>
    <cellStyle name="Normal 5 2 14 2" xfId="8672"/>
    <cellStyle name="Normal 5 2 14 2 2" xfId="8673"/>
    <cellStyle name="Normal 5 2 14 3" xfId="8674"/>
    <cellStyle name="Normal 5 2 15" xfId="8675"/>
    <cellStyle name="Normal 5 2 15 2" xfId="8676"/>
    <cellStyle name="Normal 5 2 15 2 2" xfId="8677"/>
    <cellStyle name="Normal 5 2 15 3" xfId="8678"/>
    <cellStyle name="Normal 5 2 16" xfId="8679"/>
    <cellStyle name="Normal 5 2 16 2" xfId="8680"/>
    <cellStyle name="Normal 5 2 16 2 2" xfId="8681"/>
    <cellStyle name="Normal 5 2 16 3" xfId="8682"/>
    <cellStyle name="Normal 5 2 17" xfId="8683"/>
    <cellStyle name="Normal 5 2 17 2" xfId="8684"/>
    <cellStyle name="Normal 5 2 17 2 2" xfId="8685"/>
    <cellStyle name="Normal 5 2 17 3" xfId="8686"/>
    <cellStyle name="Normal 5 2 18" xfId="8687"/>
    <cellStyle name="Normal 5 2 18 2" xfId="8688"/>
    <cellStyle name="Normal 5 2 18 2 2" xfId="8689"/>
    <cellStyle name="Normal 5 2 18 3" xfId="8690"/>
    <cellStyle name="Normal 5 2 19" xfId="8691"/>
    <cellStyle name="Normal 5 2 19 2" xfId="8692"/>
    <cellStyle name="Normal 5 2 19 2 2" xfId="8693"/>
    <cellStyle name="Normal 5 2 19 3" xfId="8694"/>
    <cellStyle name="Normal 5 2 2" xfId="1120"/>
    <cellStyle name="Normal 5 2 2 2" xfId="8695"/>
    <cellStyle name="Normal 5 2 2 2 2" xfId="8696"/>
    <cellStyle name="Normal 5 2 2 3" xfId="8697"/>
    <cellStyle name="Normal 5 2 20" xfId="8698"/>
    <cellStyle name="Normal 5 2 20 2" xfId="8699"/>
    <cellStyle name="Normal 5 2 20 2 2" xfId="8700"/>
    <cellStyle name="Normal 5 2 20 3" xfId="8701"/>
    <cellStyle name="Normal 5 2 21" xfId="8702"/>
    <cellStyle name="Normal 5 2 21 2" xfId="8703"/>
    <cellStyle name="Normal 5 2 21 2 2" xfId="8704"/>
    <cellStyle name="Normal 5 2 21 3" xfId="8705"/>
    <cellStyle name="Normal 5 2 22" xfId="8706"/>
    <cellStyle name="Normal 5 2 22 2" xfId="8707"/>
    <cellStyle name="Normal 5 2 22 2 2" xfId="8708"/>
    <cellStyle name="Normal 5 2 22 3" xfId="8709"/>
    <cellStyle name="Normal 5 2 23" xfId="8710"/>
    <cellStyle name="Normal 5 2 23 2" xfId="8711"/>
    <cellStyle name="Normal 5 2 23 2 2" xfId="8712"/>
    <cellStyle name="Normal 5 2 23 3" xfId="8713"/>
    <cellStyle name="Normal 5 2 24" xfId="8714"/>
    <cellStyle name="Normal 5 2 25" xfId="8715"/>
    <cellStyle name="Normal 5 2 25 2" xfId="8716"/>
    <cellStyle name="Normal 5 2 26" xfId="8717"/>
    <cellStyle name="Normal 5 2 3" xfId="8718"/>
    <cellStyle name="Normal 5 2 3 2" xfId="8719"/>
    <cellStyle name="Normal 5 2 3 2 2" xfId="8720"/>
    <cellStyle name="Normal 5 2 3 3" xfId="8721"/>
    <cellStyle name="Normal 5 2 4" xfId="8722"/>
    <cellStyle name="Normal 5 2 4 2" xfId="8723"/>
    <cellStyle name="Normal 5 2 4 2 2" xfId="8724"/>
    <cellStyle name="Normal 5 2 4 3" xfId="8725"/>
    <cellStyle name="Normal 5 2 5" xfId="8726"/>
    <cellStyle name="Normal 5 2 5 2" xfId="8727"/>
    <cellStyle name="Normal 5 2 5 2 2" xfId="8728"/>
    <cellStyle name="Normal 5 2 5 3" xfId="8729"/>
    <cellStyle name="Normal 5 2 6" xfId="8730"/>
    <cellStyle name="Normal 5 2 6 2" xfId="8731"/>
    <cellStyle name="Normal 5 2 6 2 2" xfId="8732"/>
    <cellStyle name="Normal 5 2 6 3" xfId="8733"/>
    <cellStyle name="Normal 5 2 7" xfId="8734"/>
    <cellStyle name="Normal 5 2 7 2" xfId="8735"/>
    <cellStyle name="Normal 5 2 7 2 2" xfId="8736"/>
    <cellStyle name="Normal 5 2 7 3" xfId="8737"/>
    <cellStyle name="Normal 5 2 8" xfId="8738"/>
    <cellStyle name="Normal 5 2 8 2" xfId="8739"/>
    <cellStyle name="Normal 5 2 8 2 2" xfId="8740"/>
    <cellStyle name="Normal 5 2 8 3" xfId="8741"/>
    <cellStyle name="Normal 5 2 9" xfId="8742"/>
    <cellStyle name="Normal 5 2 9 2" xfId="8743"/>
    <cellStyle name="Normal 5 2 9 2 2" xfId="8744"/>
    <cellStyle name="Normal 5 2 9 3" xfId="8745"/>
    <cellStyle name="Normal 5 20" xfId="8746"/>
    <cellStyle name="Normal 5 20 2" xfId="8747"/>
    <cellStyle name="Normal 5 20 2 2" xfId="8748"/>
    <cellStyle name="Normal 5 20 3" xfId="8749"/>
    <cellStyle name="Normal 5 21" xfId="8750"/>
    <cellStyle name="Normal 5 21 2" xfId="8751"/>
    <cellStyle name="Normal 5 21 2 2" xfId="8752"/>
    <cellStyle name="Normal 5 21 3" xfId="8753"/>
    <cellStyle name="Normal 5 22" xfId="8754"/>
    <cellStyle name="Normal 5 22 2" xfId="8755"/>
    <cellStyle name="Normal 5 22 2 2" xfId="8756"/>
    <cellStyle name="Normal 5 22 3" xfId="8757"/>
    <cellStyle name="Normal 5 23" xfId="8758"/>
    <cellStyle name="Normal 5 23 2" xfId="8759"/>
    <cellStyle name="Normal 5 23 2 2" xfId="8760"/>
    <cellStyle name="Normal 5 23 3" xfId="8761"/>
    <cellStyle name="Normal 5 24" xfId="8762"/>
    <cellStyle name="Normal 5 24 2" xfId="8763"/>
    <cellStyle name="Normal 5 24 2 2" xfId="8764"/>
    <cellStyle name="Normal 5 24 3" xfId="8765"/>
    <cellStyle name="Normal 5 25" xfId="8766"/>
    <cellStyle name="Normal 5 26" xfId="8767"/>
    <cellStyle name="Normal 5 26 2" xfId="8768"/>
    <cellStyle name="Normal 5 27" xfId="8769"/>
    <cellStyle name="Normal 5 28" xfId="8770"/>
    <cellStyle name="Normal 5 3" xfId="1121"/>
    <cellStyle name="Normal 5 3 2" xfId="1122"/>
    <cellStyle name="Normal 5 3 2 2" xfId="1123"/>
    <cellStyle name="Normal 5 3 2 2 2" xfId="1124"/>
    <cellStyle name="Normal 5 3 2 3" xfId="1125"/>
    <cellStyle name="Normal 5 3 2 3 2" xfId="1126"/>
    <cellStyle name="Normal 5 3 2 4" xfId="1127"/>
    <cellStyle name="Normal 5 3 3" xfId="1128"/>
    <cellStyle name="Normal 5 3 3 2" xfId="1129"/>
    <cellStyle name="Normal 5 3 4" xfId="1130"/>
    <cellStyle name="Normal 5 3 4 2" xfId="1131"/>
    <cellStyle name="Normal 5 3 5" xfId="1132"/>
    <cellStyle name="Normal 5 4" xfId="1133"/>
    <cellStyle name="Normal 5 4 2" xfId="1134"/>
    <cellStyle name="Normal 5 4 2 2" xfId="1135"/>
    <cellStyle name="Normal 5 4 2 2 2" xfId="1136"/>
    <cellStyle name="Normal 5 4 2 3" xfId="1137"/>
    <cellStyle name="Normal 5 4 2 3 2" xfId="1138"/>
    <cellStyle name="Normal 5 4 2 4" xfId="1139"/>
    <cellStyle name="Normal 5 4 3" xfId="1140"/>
    <cellStyle name="Normal 5 4 3 2" xfId="1141"/>
    <cellStyle name="Normal 5 4 4" xfId="1142"/>
    <cellStyle name="Normal 5 4 4 2" xfId="1143"/>
    <cellStyle name="Normal 5 4 5" xfId="1144"/>
    <cellStyle name="Normal 5 5" xfId="1145"/>
    <cellStyle name="Normal 5 5 2" xfId="1146"/>
    <cellStyle name="Normal 5 5 2 2" xfId="1147"/>
    <cellStyle name="Normal 5 5 2 2 2" xfId="1148"/>
    <cellStyle name="Normal 5 5 2 3" xfId="1149"/>
    <cellStyle name="Normal 5 5 2 3 2" xfId="1150"/>
    <cellStyle name="Normal 5 5 2 4" xfId="1151"/>
    <cellStyle name="Normal 5 5 3" xfId="1152"/>
    <cellStyle name="Normal 5 5 3 2" xfId="1153"/>
    <cellStyle name="Normal 5 5 4" xfId="1154"/>
    <cellStyle name="Normal 5 5 4 2" xfId="1155"/>
    <cellStyle name="Normal 5 5 5" xfId="1156"/>
    <cellStyle name="Normal 5 6" xfId="1157"/>
    <cellStyle name="Normal 5 6 2" xfId="1158"/>
    <cellStyle name="Normal 5 6 2 2" xfId="1159"/>
    <cellStyle name="Normal 5 6 2 2 2" xfId="1160"/>
    <cellStyle name="Normal 5 6 2 3" xfId="1161"/>
    <cellStyle name="Normal 5 6 2 3 2" xfId="1162"/>
    <cellStyle name="Normal 5 6 2 4" xfId="1163"/>
    <cellStyle name="Normal 5 6 3" xfId="1164"/>
    <cellStyle name="Normal 5 6 3 2" xfId="1165"/>
    <cellStyle name="Normal 5 6 4" xfId="1166"/>
    <cellStyle name="Normal 5 6 4 2" xfId="1167"/>
    <cellStyle name="Normal 5 6 5" xfId="1168"/>
    <cellStyle name="Normal 5 7" xfId="1169"/>
    <cellStyle name="Normal 5 7 2" xfId="8771"/>
    <cellStyle name="Normal 5 7 2 2" xfId="8772"/>
    <cellStyle name="Normal 5 7 3" xfId="8773"/>
    <cellStyle name="Normal 5 8" xfId="8774"/>
    <cellStyle name="Normal 5 8 2" xfId="8775"/>
    <cellStyle name="Normal 5 8 2 2" xfId="8776"/>
    <cellStyle name="Normal 5 8 3" xfId="8777"/>
    <cellStyle name="Normal 5 9" xfId="8778"/>
    <cellStyle name="Normal 5 9 2" xfId="8779"/>
    <cellStyle name="Normal 5 9 2 2" xfId="8780"/>
    <cellStyle name="Normal 5 9 3" xfId="8781"/>
    <cellStyle name="Normal 50" xfId="1170"/>
    <cellStyle name="Normal 51" xfId="8782"/>
    <cellStyle name="Normal 6" xfId="44"/>
    <cellStyle name="Normal 6 2" xfId="8783"/>
    <cellStyle name="Normal 6 3" xfId="8784"/>
    <cellStyle name="Normal 6 3 2" xfId="8785"/>
    <cellStyle name="Normal 6 4" xfId="8786"/>
    <cellStyle name="Normal 6 5" xfId="8787"/>
    <cellStyle name="Normal 7" xfId="45"/>
    <cellStyle name="Normal 7 10" xfId="8788"/>
    <cellStyle name="Normal 7 10 2" xfId="8789"/>
    <cellStyle name="Normal 7 10 2 2" xfId="8790"/>
    <cellStyle name="Normal 7 10 3" xfId="8791"/>
    <cellStyle name="Normal 7 11" xfId="8792"/>
    <cellStyle name="Normal 7 11 2" xfId="8793"/>
    <cellStyle name="Normal 7 11 2 2" xfId="8794"/>
    <cellStyle name="Normal 7 11 3" xfId="8795"/>
    <cellStyle name="Normal 7 12" xfId="8796"/>
    <cellStyle name="Normal 7 12 2" xfId="8797"/>
    <cellStyle name="Normal 7 12 2 2" xfId="8798"/>
    <cellStyle name="Normal 7 12 3" xfId="8799"/>
    <cellStyle name="Normal 7 13" xfId="8800"/>
    <cellStyle name="Normal 7 13 2" xfId="8801"/>
    <cellStyle name="Normal 7 13 2 2" xfId="8802"/>
    <cellStyle name="Normal 7 13 3" xfId="8803"/>
    <cellStyle name="Normal 7 14" xfId="8804"/>
    <cellStyle name="Normal 7 14 2" xfId="8805"/>
    <cellStyle name="Normal 7 14 2 2" xfId="8806"/>
    <cellStyle name="Normal 7 14 3" xfId="8807"/>
    <cellStyle name="Normal 7 15" xfId="8808"/>
    <cellStyle name="Normal 7 15 2" xfId="8809"/>
    <cellStyle name="Normal 7 15 2 2" xfId="8810"/>
    <cellStyle name="Normal 7 15 3" xfId="8811"/>
    <cellStyle name="Normal 7 16" xfId="8812"/>
    <cellStyle name="Normal 7 16 2" xfId="8813"/>
    <cellStyle name="Normal 7 16 2 2" xfId="8814"/>
    <cellStyle name="Normal 7 16 3" xfId="8815"/>
    <cellStyle name="Normal 7 17" xfId="8816"/>
    <cellStyle name="Normal 7 17 2" xfId="8817"/>
    <cellStyle name="Normal 7 17 2 2" xfId="8818"/>
    <cellStyle name="Normal 7 17 3" xfId="8819"/>
    <cellStyle name="Normal 7 18" xfId="8820"/>
    <cellStyle name="Normal 7 18 2" xfId="8821"/>
    <cellStyle name="Normal 7 18 2 2" xfId="8822"/>
    <cellStyle name="Normal 7 18 3" xfId="8823"/>
    <cellStyle name="Normal 7 19" xfId="8824"/>
    <cellStyle name="Normal 7 19 2" xfId="8825"/>
    <cellStyle name="Normal 7 19 2 2" xfId="8826"/>
    <cellStyle name="Normal 7 19 3" xfId="8827"/>
    <cellStyle name="Normal 7 2" xfId="46"/>
    <cellStyle name="Normal 7 2 10" xfId="8828"/>
    <cellStyle name="Normal 7 2 10 2" xfId="8829"/>
    <cellStyle name="Normal 7 2 10 2 2" xfId="8830"/>
    <cellStyle name="Normal 7 2 10 3" xfId="8831"/>
    <cellStyle name="Normal 7 2 11" xfId="8832"/>
    <cellStyle name="Normal 7 2 11 2" xfId="8833"/>
    <cellStyle name="Normal 7 2 11 2 2" xfId="8834"/>
    <cellStyle name="Normal 7 2 11 3" xfId="8835"/>
    <cellStyle name="Normal 7 2 12" xfId="8836"/>
    <cellStyle name="Normal 7 2 12 2" xfId="8837"/>
    <cellStyle name="Normal 7 2 12 2 2" xfId="8838"/>
    <cellStyle name="Normal 7 2 12 3" xfId="8839"/>
    <cellStyle name="Normal 7 2 13" xfId="8840"/>
    <cellStyle name="Normal 7 2 13 2" xfId="8841"/>
    <cellStyle name="Normal 7 2 13 2 2" xfId="8842"/>
    <cellStyle name="Normal 7 2 13 3" xfId="8843"/>
    <cellStyle name="Normal 7 2 14" xfId="8844"/>
    <cellStyle name="Normal 7 2 14 2" xfId="8845"/>
    <cellStyle name="Normal 7 2 14 2 2" xfId="8846"/>
    <cellStyle name="Normal 7 2 14 3" xfId="8847"/>
    <cellStyle name="Normal 7 2 15" xfId="8848"/>
    <cellStyle name="Normal 7 2 15 2" xfId="8849"/>
    <cellStyle name="Normal 7 2 15 2 2" xfId="8850"/>
    <cellStyle name="Normal 7 2 15 3" xfId="8851"/>
    <cellStyle name="Normal 7 2 16" xfId="8852"/>
    <cellStyle name="Normal 7 2 16 2" xfId="8853"/>
    <cellStyle name="Normal 7 2 16 2 2" xfId="8854"/>
    <cellStyle name="Normal 7 2 16 3" xfId="8855"/>
    <cellStyle name="Normal 7 2 17" xfId="8856"/>
    <cellStyle name="Normal 7 2 17 2" xfId="8857"/>
    <cellStyle name="Normal 7 2 17 2 2" xfId="8858"/>
    <cellStyle name="Normal 7 2 17 3" xfId="8859"/>
    <cellStyle name="Normal 7 2 18" xfId="8860"/>
    <cellStyle name="Normal 7 2 18 2" xfId="8861"/>
    <cellStyle name="Normal 7 2 18 2 2" xfId="8862"/>
    <cellStyle name="Normal 7 2 18 3" xfId="8863"/>
    <cellStyle name="Normal 7 2 19" xfId="8864"/>
    <cellStyle name="Normal 7 2 19 2" xfId="8865"/>
    <cellStyle name="Normal 7 2 19 2 2" xfId="8866"/>
    <cellStyle name="Normal 7 2 19 3" xfId="8867"/>
    <cellStyle name="Normal 7 2 2" xfId="1171"/>
    <cellStyle name="Normal 7 2 2 2" xfId="8868"/>
    <cellStyle name="Normal 7 2 2 2 2" xfId="8869"/>
    <cellStyle name="Normal 7 2 2 3" xfId="8870"/>
    <cellStyle name="Normal 7 2 20" xfId="8871"/>
    <cellStyle name="Normal 7 2 20 2" xfId="8872"/>
    <cellStyle name="Normal 7 2 20 2 2" xfId="8873"/>
    <cellStyle name="Normal 7 2 20 3" xfId="8874"/>
    <cellStyle name="Normal 7 2 21" xfId="8875"/>
    <cellStyle name="Normal 7 2 21 2" xfId="8876"/>
    <cellStyle name="Normal 7 2 21 2 2" xfId="8877"/>
    <cellStyle name="Normal 7 2 21 3" xfId="8878"/>
    <cellStyle name="Normal 7 2 22" xfId="8879"/>
    <cellStyle name="Normal 7 2 22 2" xfId="8880"/>
    <cellStyle name="Normal 7 2 22 2 2" xfId="8881"/>
    <cellStyle name="Normal 7 2 22 3" xfId="8882"/>
    <cellStyle name="Normal 7 2 23" xfId="8883"/>
    <cellStyle name="Normal 7 2 23 2" xfId="8884"/>
    <cellStyle name="Normal 7 2 23 2 2" xfId="8885"/>
    <cellStyle name="Normal 7 2 23 3" xfId="8886"/>
    <cellStyle name="Normal 7 2 24" xfId="8887"/>
    <cellStyle name="Normal 7 2 25" xfId="8888"/>
    <cellStyle name="Normal 7 2 25 2" xfId="8889"/>
    <cellStyle name="Normal 7 2 26" xfId="8890"/>
    <cellStyle name="Normal 7 2 3" xfId="8891"/>
    <cellStyle name="Normal 7 2 3 2" xfId="8892"/>
    <cellStyle name="Normal 7 2 3 2 2" xfId="8893"/>
    <cellStyle name="Normal 7 2 3 3" xfId="8894"/>
    <cellStyle name="Normal 7 2 4" xfId="8895"/>
    <cellStyle name="Normal 7 2 4 2" xfId="8896"/>
    <cellStyle name="Normal 7 2 4 2 2" xfId="8897"/>
    <cellStyle name="Normal 7 2 4 3" xfId="8898"/>
    <cellStyle name="Normal 7 2 5" xfId="8899"/>
    <cellStyle name="Normal 7 2 5 2" xfId="8900"/>
    <cellStyle name="Normal 7 2 5 2 2" xfId="8901"/>
    <cellStyle name="Normal 7 2 5 3" xfId="8902"/>
    <cellStyle name="Normal 7 2 6" xfId="8903"/>
    <cellStyle name="Normal 7 2 6 2" xfId="8904"/>
    <cellStyle name="Normal 7 2 6 2 2" xfId="8905"/>
    <cellStyle name="Normal 7 2 6 3" xfId="8906"/>
    <cellStyle name="Normal 7 2 7" xfId="8907"/>
    <cellStyle name="Normal 7 2 7 2" xfId="8908"/>
    <cellStyle name="Normal 7 2 7 2 2" xfId="8909"/>
    <cellStyle name="Normal 7 2 7 3" xfId="8910"/>
    <cellStyle name="Normal 7 2 8" xfId="8911"/>
    <cellStyle name="Normal 7 2 8 2" xfId="8912"/>
    <cellStyle name="Normal 7 2 8 2 2" xfId="8913"/>
    <cellStyle name="Normal 7 2 8 3" xfId="8914"/>
    <cellStyle name="Normal 7 2 9" xfId="8915"/>
    <cellStyle name="Normal 7 2 9 2" xfId="8916"/>
    <cellStyle name="Normal 7 2 9 2 2" xfId="8917"/>
    <cellStyle name="Normal 7 2 9 3" xfId="8918"/>
    <cellStyle name="Normal 7 20" xfId="8919"/>
    <cellStyle name="Normal 7 20 2" xfId="8920"/>
    <cellStyle name="Normal 7 20 2 2" xfId="8921"/>
    <cellStyle name="Normal 7 20 3" xfId="8922"/>
    <cellStyle name="Normal 7 21" xfId="8923"/>
    <cellStyle name="Normal 7 21 2" xfId="8924"/>
    <cellStyle name="Normal 7 21 2 2" xfId="8925"/>
    <cellStyle name="Normal 7 21 3" xfId="8926"/>
    <cellStyle name="Normal 7 22" xfId="8927"/>
    <cellStyle name="Normal 7 22 2" xfId="8928"/>
    <cellStyle name="Normal 7 22 2 2" xfId="8929"/>
    <cellStyle name="Normal 7 22 3" xfId="8930"/>
    <cellStyle name="Normal 7 23" xfId="8931"/>
    <cellStyle name="Normal 7 23 2" xfId="8932"/>
    <cellStyle name="Normal 7 23 2 2" xfId="8933"/>
    <cellStyle name="Normal 7 23 3" xfId="8934"/>
    <cellStyle name="Normal 7 24" xfId="8935"/>
    <cellStyle name="Normal 7 24 2" xfId="8936"/>
    <cellStyle name="Normal 7 24 2 2" xfId="8937"/>
    <cellStyle name="Normal 7 24 3" xfId="8938"/>
    <cellStyle name="Normal 7 25" xfId="8939"/>
    <cellStyle name="Normal 7 26" xfId="8940"/>
    <cellStyle name="Normal 7 26 2" xfId="8941"/>
    <cellStyle name="Normal 7 27" xfId="8942"/>
    <cellStyle name="Normal 7 3" xfId="1172"/>
    <cellStyle name="Normal 7 3 2" xfId="8943"/>
    <cellStyle name="Normal 7 3 2 2" xfId="8944"/>
    <cellStyle name="Normal 7 3 3" xfId="8945"/>
    <cellStyle name="Normal 7 4" xfId="8946"/>
    <cellStyle name="Normal 7 4 2" xfId="8947"/>
    <cellStyle name="Normal 7 4 2 2" xfId="8948"/>
    <cellStyle name="Normal 7 4 3" xfId="8949"/>
    <cellStyle name="Normal 7 5" xfId="8950"/>
    <cellStyle name="Normal 7 5 2" xfId="8951"/>
    <cellStyle name="Normal 7 5 2 2" xfId="8952"/>
    <cellStyle name="Normal 7 5 3" xfId="8953"/>
    <cellStyle name="Normal 7 6" xfId="8954"/>
    <cellStyle name="Normal 7 6 2" xfId="8955"/>
    <cellStyle name="Normal 7 6 2 2" xfId="8956"/>
    <cellStyle name="Normal 7 6 3" xfId="8957"/>
    <cellStyle name="Normal 7 7" xfId="8958"/>
    <cellStyle name="Normal 7 7 2" xfId="8959"/>
    <cellStyle name="Normal 7 7 2 2" xfId="8960"/>
    <cellStyle name="Normal 7 7 3" xfId="8961"/>
    <cellStyle name="Normal 7 8" xfId="8962"/>
    <cellStyle name="Normal 7 8 2" xfId="8963"/>
    <cellStyle name="Normal 7 8 2 2" xfId="8964"/>
    <cellStyle name="Normal 7 8 3" xfId="8965"/>
    <cellStyle name="Normal 7 9" xfId="8966"/>
    <cellStyle name="Normal 7 9 2" xfId="8967"/>
    <cellStyle name="Normal 7 9 2 2" xfId="8968"/>
    <cellStyle name="Normal 7 9 3" xfId="8969"/>
    <cellStyle name="Normal 8" xfId="47"/>
    <cellStyle name="Normal 8 2" xfId="48"/>
    <cellStyle name="Normal 8 2 2" xfId="1173"/>
    <cellStyle name="Normal 8 3" xfId="1174"/>
    <cellStyle name="Normal 8 3 2" xfId="8970"/>
    <cellStyle name="Normal 8 3 3" xfId="8971"/>
    <cellStyle name="Normal 8 4" xfId="8972"/>
    <cellStyle name="Normal 8 4 2" xfId="8973"/>
    <cellStyle name="Normal 8 4 3" xfId="8974"/>
    <cellStyle name="Normal 8 5" xfId="8975"/>
    <cellStyle name="Normal 8 6" xfId="8976"/>
    <cellStyle name="Normal 8 7" xfId="8977"/>
    <cellStyle name="Normal 8 8" xfId="8978"/>
    <cellStyle name="Normal 9" xfId="49"/>
    <cellStyle name="Normal 9 2" xfId="133"/>
    <cellStyle name="Normal 9 2 2" xfId="1175"/>
    <cellStyle name="Normal 9 3" xfId="75"/>
    <cellStyle name="Normal 9 4" xfId="1176"/>
    <cellStyle name="Normal 9 5" xfId="8979"/>
    <cellStyle name="Normal_EStarWASHERResTiersFY07v1_3_postJan07" xfId="15"/>
    <cellStyle name="Normal_EStarWASHERResTiersFY07v1_3_postJan07 2" xfId="1412"/>
    <cellStyle name="Normal_MTDUCT" xfId="16"/>
    <cellStyle name="Normal_PC-LPDPackage-6P-D14" xfId="1414"/>
    <cellStyle name="Normal_ProCostFinAssumptions_Sector" xfId="17"/>
    <cellStyle name="Normal_prodraft-248-c_TEDWtest" xfId="18"/>
    <cellStyle name="Normal_PTCSFY07v1_3" xfId="19"/>
    <cellStyle name="Note 2" xfId="134"/>
    <cellStyle name="Note 2 2" xfId="170"/>
    <cellStyle name="Note 2 2 2" xfId="1177"/>
    <cellStyle name="Note 2 2 2 2" xfId="1178"/>
    <cellStyle name="Note 2 2 2 2 2" xfId="1179"/>
    <cellStyle name="Note 2 2 2 3" xfId="1180"/>
    <cellStyle name="Note 2 2 2 3 2" xfId="1181"/>
    <cellStyle name="Note 2 2 2 4" xfId="1182"/>
    <cellStyle name="Note 2 2 3" xfId="1183"/>
    <cellStyle name="Note 2 2 3 2" xfId="1184"/>
    <cellStyle name="Note 2 2 4" xfId="1185"/>
    <cellStyle name="Note 2 2 4 2" xfId="1186"/>
    <cellStyle name="Note 2 2 5" xfId="1187"/>
    <cellStyle name="Note 2 2 6" xfId="1188"/>
    <cellStyle name="Note 2 3" xfId="1189"/>
    <cellStyle name="Note 2 3 2" xfId="1190"/>
    <cellStyle name="Note 2 3 2 2" xfId="1191"/>
    <cellStyle name="Note 2 3 2 2 2" xfId="1192"/>
    <cellStyle name="Note 2 3 2 3" xfId="1193"/>
    <cellStyle name="Note 2 3 2 3 2" xfId="1194"/>
    <cellStyle name="Note 2 3 2 4" xfId="1195"/>
    <cellStyle name="Note 2 3 3" xfId="1196"/>
    <cellStyle name="Note 2 3 3 2" xfId="1197"/>
    <cellStyle name="Note 2 3 4" xfId="1198"/>
    <cellStyle name="Note 2 3 4 2" xfId="1199"/>
    <cellStyle name="Note 2 3 5" xfId="1200"/>
    <cellStyle name="Note 2 4" xfId="1201"/>
    <cellStyle name="Note 2 4 2" xfId="1202"/>
    <cellStyle name="Note 2 4 2 2" xfId="1203"/>
    <cellStyle name="Note 2 4 2 2 2" xfId="1204"/>
    <cellStyle name="Note 2 4 2 3" xfId="1205"/>
    <cellStyle name="Note 2 4 2 3 2" xfId="1206"/>
    <cellStyle name="Note 2 4 2 4" xfId="1207"/>
    <cellStyle name="Note 2 4 3" xfId="1208"/>
    <cellStyle name="Note 2 4 3 2" xfId="1209"/>
    <cellStyle name="Note 2 4 4" xfId="1210"/>
    <cellStyle name="Note 2 4 4 2" xfId="1211"/>
    <cellStyle name="Note 2 4 5" xfId="1212"/>
    <cellStyle name="Note 2 5" xfId="1213"/>
    <cellStyle name="Note 2 5 2" xfId="1214"/>
    <cellStyle name="Note 2 5 2 2" xfId="1215"/>
    <cellStyle name="Note 2 5 3" xfId="1216"/>
    <cellStyle name="Note 2 5 3 2" xfId="1217"/>
    <cellStyle name="Note 2 5 4" xfId="1218"/>
    <cellStyle name="Note 2 6" xfId="1219"/>
    <cellStyle name="Note 2 6 2" xfId="1220"/>
    <cellStyle name="Note 2 7" xfId="1221"/>
    <cellStyle name="Note 2 7 2" xfId="1222"/>
    <cellStyle name="Note 2 8" xfId="1223"/>
    <cellStyle name="Note 2 8 2" xfId="1224"/>
    <cellStyle name="Note 3" xfId="1225"/>
    <cellStyle name="Note 4" xfId="8980"/>
    <cellStyle name="Note 5" xfId="8981"/>
    <cellStyle name="Note 5 2" xfId="8982"/>
    <cellStyle name="Output 2" xfId="135"/>
    <cellStyle name="Output 2 2" xfId="171"/>
    <cellStyle name="Output 3" xfId="1226"/>
    <cellStyle name="Percent" xfId="20" builtinId="5"/>
    <cellStyle name="Percent 2" xfId="21"/>
    <cellStyle name="Percent 2 10" xfId="1227"/>
    <cellStyle name="Percent 2 2" xfId="22"/>
    <cellStyle name="Percent 2 2 2" xfId="50"/>
    <cellStyle name="Percent 2 2 2 2" xfId="136"/>
    <cellStyle name="Percent 2 2 2 2 2" xfId="1228"/>
    <cellStyle name="Percent 2 2 2 3" xfId="76"/>
    <cellStyle name="Percent 2 2 2 4" xfId="1229"/>
    <cellStyle name="Percent 2 2 3" xfId="137"/>
    <cellStyle name="Percent 2 2 3 2" xfId="1230"/>
    <cellStyle name="Percent 2 2 4" xfId="64"/>
    <cellStyle name="Percent 2 2 4 2" xfId="8983"/>
    <cellStyle name="Percent 2 2 5" xfId="8984"/>
    <cellStyle name="Percent 2 2 6" xfId="8985"/>
    <cellStyle name="Percent 2 2 7" xfId="8986"/>
    <cellStyle name="Percent 2 2 8" xfId="8987"/>
    <cellStyle name="Percent 2 3" xfId="172"/>
    <cellStyle name="Percent 2 3 2" xfId="181"/>
    <cellStyle name="Percent 2 3 2 10" xfId="1231"/>
    <cellStyle name="Percent 2 3 2 2" xfId="1232"/>
    <cellStyle name="Percent 2 3 2 2 2" xfId="1233"/>
    <cellStyle name="Percent 2 3 2 2 2 2" xfId="1234"/>
    <cellStyle name="Percent 2 3 2 2 2 2 2" xfId="1235"/>
    <cellStyle name="Percent 2 3 2 2 2 3" xfId="1236"/>
    <cellStyle name="Percent 2 3 2 2 2 3 2" xfId="1237"/>
    <cellStyle name="Percent 2 3 2 2 2 4" xfId="1238"/>
    <cellStyle name="Percent 2 3 2 2 3" xfId="1239"/>
    <cellStyle name="Percent 2 3 2 2 3 2" xfId="1240"/>
    <cellStyle name="Percent 2 3 2 2 4" xfId="1241"/>
    <cellStyle name="Percent 2 3 2 2 4 2" xfId="1242"/>
    <cellStyle name="Percent 2 3 2 2 5" xfId="1243"/>
    <cellStyle name="Percent 2 3 2 3" xfId="1244"/>
    <cellStyle name="Percent 2 3 2 3 2" xfId="1245"/>
    <cellStyle name="Percent 2 3 2 3 2 2" xfId="1246"/>
    <cellStyle name="Percent 2 3 2 3 2 2 2" xfId="1247"/>
    <cellStyle name="Percent 2 3 2 3 2 3" xfId="1248"/>
    <cellStyle name="Percent 2 3 2 3 2 3 2" xfId="1249"/>
    <cellStyle name="Percent 2 3 2 3 2 4" xfId="1250"/>
    <cellStyle name="Percent 2 3 2 3 3" xfId="1251"/>
    <cellStyle name="Percent 2 3 2 3 3 2" xfId="1252"/>
    <cellStyle name="Percent 2 3 2 3 4" xfId="1253"/>
    <cellStyle name="Percent 2 3 2 3 4 2" xfId="1254"/>
    <cellStyle name="Percent 2 3 2 3 5" xfId="1255"/>
    <cellStyle name="Percent 2 3 2 4" xfId="1256"/>
    <cellStyle name="Percent 2 3 2 4 2" xfId="1257"/>
    <cellStyle name="Percent 2 3 2 4 2 2" xfId="1258"/>
    <cellStyle name="Percent 2 3 2 4 2 2 2" xfId="1259"/>
    <cellStyle name="Percent 2 3 2 4 2 3" xfId="1260"/>
    <cellStyle name="Percent 2 3 2 4 2 3 2" xfId="1261"/>
    <cellStyle name="Percent 2 3 2 4 2 4" xfId="1262"/>
    <cellStyle name="Percent 2 3 2 4 3" xfId="1263"/>
    <cellStyle name="Percent 2 3 2 4 3 2" xfId="1264"/>
    <cellStyle name="Percent 2 3 2 4 4" xfId="1265"/>
    <cellStyle name="Percent 2 3 2 4 4 2" xfId="1266"/>
    <cellStyle name="Percent 2 3 2 4 5" xfId="1267"/>
    <cellStyle name="Percent 2 3 2 5" xfId="1268"/>
    <cellStyle name="Percent 2 3 2 5 2" xfId="1269"/>
    <cellStyle name="Percent 2 3 2 5 2 2" xfId="1270"/>
    <cellStyle name="Percent 2 3 2 5 3" xfId="1271"/>
    <cellStyle name="Percent 2 3 2 5 3 2" xfId="1272"/>
    <cellStyle name="Percent 2 3 2 5 4" xfId="1273"/>
    <cellStyle name="Percent 2 3 2 6" xfId="1274"/>
    <cellStyle name="Percent 2 3 2 6 2" xfId="1275"/>
    <cellStyle name="Percent 2 3 2 6 2 2" xfId="1276"/>
    <cellStyle name="Percent 2 3 2 6 3" xfId="1277"/>
    <cellStyle name="Percent 2 3 2 6 3 2" xfId="1278"/>
    <cellStyle name="Percent 2 3 2 6 4" xfId="1279"/>
    <cellStyle name="Percent 2 3 2 7" xfId="1280"/>
    <cellStyle name="Percent 2 3 2 7 2" xfId="1281"/>
    <cellStyle name="Percent 2 3 2 8" xfId="1282"/>
    <cellStyle name="Percent 2 3 2 8 2" xfId="1283"/>
    <cellStyle name="Percent 2 3 2 9" xfId="1284"/>
    <cellStyle name="Percent 2 3 3" xfId="188"/>
    <cellStyle name="Percent 2 4" xfId="1285"/>
    <cellStyle name="Percent 2 4 2" xfId="1286"/>
    <cellStyle name="Percent 2 4 2 2" xfId="1287"/>
    <cellStyle name="Percent 2 4 2 2 2" xfId="1288"/>
    <cellStyle name="Percent 2 4 2 3" xfId="1289"/>
    <cellStyle name="Percent 2 4 2 3 2" xfId="1290"/>
    <cellStyle name="Percent 2 4 2 4" xfId="1291"/>
    <cellStyle name="Percent 2 4 3" xfId="1292"/>
    <cellStyle name="Percent 2 4 3 2" xfId="1293"/>
    <cellStyle name="Percent 2 4 3 2 2" xfId="1294"/>
    <cellStyle name="Percent 2 4 3 3" xfId="1295"/>
    <cellStyle name="Percent 2 4 3 3 2" xfId="1296"/>
    <cellStyle name="Percent 2 4 3 4" xfId="1297"/>
    <cellStyle name="Percent 2 5" xfId="1298"/>
    <cellStyle name="Percent 2 5 2" xfId="1299"/>
    <cellStyle name="Percent 2 5 2 2" xfId="1300"/>
    <cellStyle name="Percent 2 5 2 2 2" xfId="1301"/>
    <cellStyle name="Percent 2 5 2 3" xfId="1302"/>
    <cellStyle name="Percent 2 5 2 3 2" xfId="1303"/>
    <cellStyle name="Percent 2 5 2 4" xfId="1304"/>
    <cellStyle name="Percent 2 5 3" xfId="1305"/>
    <cellStyle name="Percent 2 5 3 2" xfId="1306"/>
    <cellStyle name="Percent 2 5 4" xfId="1307"/>
    <cellStyle name="Percent 2 5 4 2" xfId="1308"/>
    <cellStyle name="Percent 2 5 5" xfId="1309"/>
    <cellStyle name="Percent 2 6" xfId="1310"/>
    <cellStyle name="Percent 2 6 2" xfId="1311"/>
    <cellStyle name="Percent 2 6 2 2" xfId="1312"/>
    <cellStyle name="Percent 2 6 2 2 2" xfId="1313"/>
    <cellStyle name="Percent 2 6 2 3" xfId="1314"/>
    <cellStyle name="Percent 2 6 2 3 2" xfId="1315"/>
    <cellStyle name="Percent 2 6 2 4" xfId="1316"/>
    <cellStyle name="Percent 2 6 3" xfId="1317"/>
    <cellStyle name="Percent 2 6 3 2" xfId="1318"/>
    <cellStyle name="Percent 2 6 4" xfId="1319"/>
    <cellStyle name="Percent 2 6 4 2" xfId="1320"/>
    <cellStyle name="Percent 2 6 5" xfId="1321"/>
    <cellStyle name="Percent 2 7" xfId="1322"/>
    <cellStyle name="Percent 2 7 2" xfId="1323"/>
    <cellStyle name="Percent 2 7 2 2" xfId="1324"/>
    <cellStyle name="Percent 2 7 2 2 2" xfId="1325"/>
    <cellStyle name="Percent 2 7 2 3" xfId="1326"/>
    <cellStyle name="Percent 2 7 2 3 2" xfId="1327"/>
    <cellStyle name="Percent 2 7 2 4" xfId="1328"/>
    <cellStyle name="Percent 2 7 3" xfId="1329"/>
    <cellStyle name="Percent 2 7 3 2" xfId="1330"/>
    <cellStyle name="Percent 2 7 4" xfId="1331"/>
    <cellStyle name="Percent 2 7 4 2" xfId="1332"/>
    <cellStyle name="Percent 2 7 5" xfId="1333"/>
    <cellStyle name="Percent 2 8" xfId="1334"/>
    <cellStyle name="Percent 2 8 2" xfId="1335"/>
    <cellStyle name="Percent 2 8 2 2" xfId="1336"/>
    <cellStyle name="Percent 2 8 3" xfId="1337"/>
    <cellStyle name="Percent 2 8 3 2" xfId="1338"/>
    <cellStyle name="Percent 2 8 4" xfId="1339"/>
    <cellStyle name="Percent 2 9" xfId="1340"/>
    <cellStyle name="Percent 3" xfId="23"/>
    <cellStyle name="Percent 3 2" xfId="51"/>
    <cellStyle name="Percent 3 2 2" xfId="138"/>
    <cellStyle name="Percent 3 2 2 2" xfId="1341"/>
    <cellStyle name="Percent 3 2 2 2 2" xfId="1342"/>
    <cellStyle name="Percent 3 2 2 2 2 2" xfId="1343"/>
    <cellStyle name="Percent 3 2 2 2 3" xfId="1344"/>
    <cellStyle name="Percent 3 2 2 2 3 2" xfId="1345"/>
    <cellStyle name="Percent 3 2 2 2 4" xfId="1346"/>
    <cellStyle name="Percent 3 2 2 2 5" xfId="1347"/>
    <cellStyle name="Percent 3 2 3" xfId="77"/>
    <cellStyle name="Percent 3 2 3 2" xfId="1348"/>
    <cellStyle name="Percent 3 2 3 2 2" xfId="1349"/>
    <cellStyle name="Percent 3 2 3 2 2 2" xfId="1350"/>
    <cellStyle name="Percent 3 2 3 2 3" xfId="1351"/>
    <cellStyle name="Percent 3 2 3 2 3 2" xfId="1352"/>
    <cellStyle name="Percent 3 2 3 2 4" xfId="1353"/>
    <cellStyle name="Percent 3 2 3 3" xfId="1354"/>
    <cellStyle name="Percent 3 2 3 3 2" xfId="1355"/>
    <cellStyle name="Percent 3 2 3 4" xfId="1356"/>
    <cellStyle name="Percent 3 2 3 4 2" xfId="1357"/>
    <cellStyle name="Percent 3 2 3 5" xfId="1358"/>
    <cellStyle name="Percent 3 2 3 6" xfId="1359"/>
    <cellStyle name="Percent 3 2 4" xfId="1360"/>
    <cellStyle name="Percent 3 2 4 2" xfId="1361"/>
    <cellStyle name="Percent 3 2 4 2 2" xfId="1362"/>
    <cellStyle name="Percent 3 2 4 2 2 2" xfId="1363"/>
    <cellStyle name="Percent 3 2 4 2 3" xfId="1364"/>
    <cellStyle name="Percent 3 2 4 2 3 2" xfId="1365"/>
    <cellStyle name="Percent 3 2 4 2 4" xfId="1366"/>
    <cellStyle name="Percent 3 2 4 3" xfId="1367"/>
    <cellStyle name="Percent 3 2 4 3 2" xfId="1368"/>
    <cellStyle name="Percent 3 2 4 4" xfId="1369"/>
    <cellStyle name="Percent 3 2 4 4 2" xfId="1370"/>
    <cellStyle name="Percent 3 2 4 5" xfId="1371"/>
    <cellStyle name="Percent 3 2 5" xfId="1372"/>
    <cellStyle name="Percent 3 2 5 2" xfId="1373"/>
    <cellStyle name="Percent 3 2 5 2 2" xfId="1374"/>
    <cellStyle name="Percent 3 2 5 2 2 2" xfId="1375"/>
    <cellStyle name="Percent 3 2 5 2 3" xfId="1376"/>
    <cellStyle name="Percent 3 2 5 2 3 2" xfId="1377"/>
    <cellStyle name="Percent 3 2 5 2 4" xfId="1378"/>
    <cellStyle name="Percent 3 2 5 3" xfId="1379"/>
    <cellStyle name="Percent 3 2 5 3 2" xfId="1380"/>
    <cellStyle name="Percent 3 2 5 4" xfId="1381"/>
    <cellStyle name="Percent 3 2 5 4 2" xfId="1382"/>
    <cellStyle name="Percent 3 2 5 5" xfId="1383"/>
    <cellStyle name="Percent 3 2 6" xfId="1384"/>
    <cellStyle name="Percent 3 2 7" xfId="1385"/>
    <cellStyle name="Percent 3 2 7 2" xfId="1386"/>
    <cellStyle name="Percent 3 2 7 2 2" xfId="1387"/>
    <cellStyle name="Percent 3 2 7 3" xfId="1388"/>
    <cellStyle name="Percent 3 2 7 3 2" xfId="1389"/>
    <cellStyle name="Percent 3 2 7 4" xfId="1390"/>
    <cellStyle name="Percent 3 2 8" xfId="1391"/>
    <cellStyle name="Percent 3 2 9" xfId="1392"/>
    <cellStyle name="Percent 3 3" xfId="139"/>
    <cellStyle name="Percent 3 3 2" xfId="1393"/>
    <cellStyle name="Percent 3 4" xfId="65"/>
    <cellStyle name="Percent 3 4 2" xfId="8988"/>
    <cellStyle name="Percent 3 5" xfId="1394"/>
    <cellStyle name="Percent 3 6" xfId="1395"/>
    <cellStyle name="Percent 4" xfId="52"/>
    <cellStyle name="Percent 4 2" xfId="53"/>
    <cellStyle name="Percent 4 2 2" xfId="1396"/>
    <cellStyle name="Percent 4 3" xfId="1397"/>
    <cellStyle name="Percent 4 4" xfId="8989"/>
    <cellStyle name="Percent 4 4 2" xfId="8990"/>
    <cellStyle name="Percent 4 5" xfId="8991"/>
    <cellStyle name="Percent 5" xfId="54"/>
    <cellStyle name="Percent 5 2" xfId="1398"/>
    <cellStyle name="Percent 5 3" xfId="8992"/>
    <cellStyle name="Percent 6" xfId="1399"/>
    <cellStyle name="Percent 6 2" xfId="1400"/>
    <cellStyle name="Percent 6 3" xfId="8993"/>
    <cellStyle name="Percent 7" xfId="1401"/>
    <cellStyle name="Percent 8" xfId="1402"/>
    <cellStyle name="Percent 9" xfId="1403"/>
    <cellStyle name="Sheet Title" xfId="1404"/>
    <cellStyle name="Style 1" xfId="1405"/>
    <cellStyle name="Style 1 2" xfId="1406"/>
    <cellStyle name="Style 28" xfId="1407"/>
    <cellStyle name="Title 2" xfId="140"/>
    <cellStyle name="Title 2 2" xfId="173"/>
    <cellStyle name="Title 3" xfId="1408"/>
    <cellStyle name="Total 2" xfId="141"/>
    <cellStyle name="Total 2 2" xfId="174"/>
    <cellStyle name="Total 3" xfId="1409"/>
    <cellStyle name="Warning Text 2" xfId="142"/>
    <cellStyle name="Warning Text 3" xfId="1410"/>
    <cellStyle name="표준 2_WP-1 보고자료 (2009.06.03)" xfId="1411"/>
    <cellStyle name="표준_ENERGY CONSUMP" xfId="24"/>
    <cellStyle name="常规_海外市场服务网站资料操作BOM" xfId="2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ACEA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9933"/>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2095500</xdr:colOff>
      <xdr:row>443</xdr:row>
      <xdr:rowOff>0</xdr:rowOff>
    </xdr:from>
    <xdr:to>
      <xdr:col>1</xdr:col>
      <xdr:colOff>1019175</xdr:colOff>
      <xdr:row>443</xdr:row>
      <xdr:rowOff>0</xdr:rowOff>
    </xdr:to>
    <xdr:sp macro="" textlink="">
      <xdr:nvSpPr>
        <xdr:cNvPr id="71681" name="AutoShape 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2" name="AutoShape 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3" name="AutoShape 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4" name="AutoShape 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5" name="AutoShape 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6" name="AutoShape 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7" name="AutoShape 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8" name="AutoShape 8"/>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89" name="AutoShape 9"/>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0" name="AutoShape 10"/>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1" name="AutoShape 1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2" name="AutoShape 1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3" name="AutoShape 1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4" name="AutoShape 1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5" name="AutoShape 1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6" name="AutoShape 1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7" name="AutoShape 1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8" name="AutoShape 18"/>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699" name="AutoShape 19"/>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0" name="AutoShape 20"/>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1" name="AutoShape 21"/>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2" name="AutoShape 22"/>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3" name="AutoShape 23"/>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4" name="AutoShape 24"/>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5" name="AutoShape 25"/>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6" name="AutoShape 26"/>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xdr:col>
      <xdr:colOff>2095500</xdr:colOff>
      <xdr:row>443</xdr:row>
      <xdr:rowOff>0</xdr:rowOff>
    </xdr:from>
    <xdr:to>
      <xdr:col>1</xdr:col>
      <xdr:colOff>1019175</xdr:colOff>
      <xdr:row>443</xdr:row>
      <xdr:rowOff>0</xdr:rowOff>
    </xdr:to>
    <xdr:sp macro="" textlink="">
      <xdr:nvSpPr>
        <xdr:cNvPr id="71707" name="AutoShape 27"/>
        <xdr:cNvSpPr>
          <a:spLocks noChangeArrowheads="1"/>
        </xdr:cNvSpPr>
      </xdr:nvSpPr>
      <xdr:spPr bwMode="auto">
        <a:xfrm>
          <a:off x="3314700" y="1295400"/>
          <a:ext cx="0" cy="0"/>
        </a:xfrm>
        <a:prstGeom prst="wedgeRectCallout">
          <a:avLst>
            <a:gd name="adj1" fmla="val 43491"/>
            <a:gd name="adj2" fmla="val 110000"/>
          </a:avLst>
        </a:prstGeom>
        <a:solidFill>
          <a:srgbClr val="FFFF00"/>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Fix this categories row so there is output in it.</a:t>
          </a:r>
        </a:p>
      </xdr:txBody>
    </xdr:sp>
    <xdr:clientData/>
  </xdr:twoCellAnchor>
  <xdr:twoCellAnchor>
    <xdr:from>
      <xdr:col>19</xdr:col>
      <xdr:colOff>596346</xdr:colOff>
      <xdr:row>0</xdr:row>
      <xdr:rowOff>74538</xdr:rowOff>
    </xdr:from>
    <xdr:to>
      <xdr:col>22</xdr:col>
      <xdr:colOff>612913</xdr:colOff>
      <xdr:row>6</xdr:row>
      <xdr:rowOff>124234</xdr:rowOff>
    </xdr:to>
    <xdr:sp macro="" textlink="">
      <xdr:nvSpPr>
        <xdr:cNvPr id="29" name="Oval Callout 28"/>
        <xdr:cNvSpPr/>
      </xdr:nvSpPr>
      <xdr:spPr bwMode="auto">
        <a:xfrm>
          <a:off x="23887042" y="74538"/>
          <a:ext cx="2476501" cy="1043609"/>
        </a:xfrm>
        <a:prstGeom prst="wedgeEllipseCallout">
          <a:avLst>
            <a:gd name="adj1" fmla="val -60563"/>
            <a:gd name="adj2" fmla="val 30009"/>
          </a:avLst>
        </a:prstGeom>
        <a:solidFill>
          <a:schemeClr val="accent6">
            <a:lumMod val="60000"/>
            <a:lumOff val="40000"/>
          </a:schemeClr>
        </a:solidFill>
        <a:ln w="9525" cap="flat" cmpd="sng" algn="ctr">
          <a:solidFill>
            <a:schemeClr val="accent1">
              <a:lumMod val="50000"/>
            </a:schemeClr>
          </a:solidFill>
          <a:prstDash val="solid"/>
          <a:round/>
          <a:headEnd type="none" w="med" len="med"/>
          <a:tailEnd type="none" w="med" len="med"/>
        </a:ln>
        <a:effectLst>
          <a:outerShdw blurRad="50800" dist="50800" dir="5400000" algn="ctr" rotWithShape="0">
            <a:schemeClr val="bg1">
              <a:lumMod val="65000"/>
            </a:schemeClr>
          </a:outerShdw>
        </a:effectLst>
      </xdr:spPr>
      <xdr:txBody>
        <a:bodyPr vertOverflow="clip" horzOverflow="clip" wrap="square" lIns="18288" tIns="0" rIns="0" bIns="0" rtlCol="0" anchor="ctr" upright="1"/>
        <a:lstStyle/>
        <a:p>
          <a:pPr algn="ctr"/>
          <a:r>
            <a:rPr lang="en-US" sz="1100" b="0" i="0"/>
            <a:t>Leave</a:t>
          </a:r>
          <a:r>
            <a:rPr lang="en-US" sz="1100" b="0" i="0" baseline="0"/>
            <a:t> "Early Retrofit Parameters" blank if you are not using them.  Zeros may lead to unintended results.</a:t>
          </a:r>
          <a:endParaRPr lang="en-US" sz="1100" b="0" i="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Lighting-7P_v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DEI Forecast (Base Case)"/>
      <sheetName val="DEI Forecast (High)"/>
      <sheetName val="DEI Forecast (Low)"/>
      <sheetName val="DataCenter Forecast (Base Case)"/>
      <sheetName val="DataCenter Forecast (High)"/>
      <sheetName val="DataCenter Forecast (Low)"/>
      <sheetName val="Pop Forecast (High Case)"/>
      <sheetName val="Pop Forecast (Low Case)"/>
      <sheetName val="7P Forecasts D2"/>
    </sheetNames>
    <definedNames>
      <definedName name="rng_ForecastColumnLookup" refersTo="='Forecast Switchboard'!$H$21:$AE$21"/>
      <definedName name="rng_ForecastRowLookup" refersTo="='Forecast Switchboard'!$G$22:$G$502"/>
      <definedName name="switch_ForecastScenario" refersTo="='Forecast Switchboard'!$H$3"/>
      <definedName name="switch_ForecastState" refersTo="='Forecast Switchboard'!$H$4"/>
      <definedName name="tbl_Forecast" refersTo="='Forecast Switchboard'!$H$22:$AE$502"/>
    </definedNames>
    <sheetDataSet>
      <sheetData sheetId="0"/>
      <sheetData sheetId="1">
        <row r="3">
          <cell r="H3" t="str">
            <v>Base</v>
          </cell>
        </row>
        <row r="4">
          <cell r="H4" t="str">
            <v>Region</v>
          </cell>
        </row>
        <row r="21">
          <cell r="H21" t="str">
            <v>Sector</v>
          </cell>
          <cell r="I21" t="str">
            <v>Building/Industry Type</v>
          </cell>
          <cell r="J21" t="str">
            <v>Vintage / Subcategory</v>
          </cell>
          <cell r="K21" t="str">
            <v>Forecast Units</v>
          </cell>
          <cell r="L21">
            <v>2016</v>
          </cell>
          <cell r="M21">
            <v>2017</v>
          </cell>
          <cell r="N21">
            <v>2018</v>
          </cell>
          <cell r="O21">
            <v>2019</v>
          </cell>
          <cell r="P21">
            <v>2020</v>
          </cell>
          <cell r="Q21">
            <v>2021</v>
          </cell>
          <cell r="R21">
            <v>2022</v>
          </cell>
          <cell r="S21">
            <v>2023</v>
          </cell>
          <cell r="T21">
            <v>2024</v>
          </cell>
          <cell r="U21">
            <v>2025</v>
          </cell>
          <cell r="V21">
            <v>2026</v>
          </cell>
          <cell r="W21">
            <v>2027</v>
          </cell>
          <cell r="X21">
            <v>2028</v>
          </cell>
          <cell r="Y21">
            <v>2029</v>
          </cell>
          <cell r="Z21">
            <v>2030</v>
          </cell>
          <cell r="AA21">
            <v>2031</v>
          </cell>
          <cell r="AB21">
            <v>2032</v>
          </cell>
          <cell r="AC21">
            <v>2033</v>
          </cell>
          <cell r="AD21">
            <v>2034</v>
          </cell>
          <cell r="AE21">
            <v>2035</v>
          </cell>
        </row>
        <row r="22">
          <cell r="G22" t="str">
            <v>RegionSingle FamilyNew</v>
          </cell>
          <cell r="H22" t="str">
            <v>Res</v>
          </cell>
          <cell r="I22" t="str">
            <v>Single Family</v>
          </cell>
          <cell r="J22" t="str">
            <v>New</v>
          </cell>
          <cell r="K22" t="str">
            <v>Buildings</v>
          </cell>
          <cell r="L22">
            <v>62685.758999999998</v>
          </cell>
          <cell r="M22">
            <v>59961.781000000003</v>
          </cell>
          <cell r="N22">
            <v>56834.012000000002</v>
          </cell>
          <cell r="O22">
            <v>54985.192999999999</v>
          </cell>
          <cell r="P22">
            <v>53507.474000000002</v>
          </cell>
          <cell r="Q22">
            <v>50982.05</v>
          </cell>
          <cell r="R22">
            <v>49561.669000000002</v>
          </cell>
          <cell r="S22">
            <v>49324.517999999996</v>
          </cell>
          <cell r="T22">
            <v>48815.77</v>
          </cell>
          <cell r="U22">
            <v>49683.252</v>
          </cell>
          <cell r="V22">
            <v>50030.137000000002</v>
          </cell>
          <cell r="W22">
            <v>49387.762999999999</v>
          </cell>
          <cell r="X22">
            <v>48079.345999999998</v>
          </cell>
          <cell r="Y22">
            <v>48129.050999999999</v>
          </cell>
          <cell r="Z22">
            <v>48690.569000000003</v>
          </cell>
          <cell r="AA22">
            <v>48482.864000000001</v>
          </cell>
          <cell r="AB22">
            <v>46879.000999999997</v>
          </cell>
          <cell r="AC22">
            <v>46798.777999999998</v>
          </cell>
          <cell r="AD22">
            <v>46917.627</v>
          </cell>
          <cell r="AE22">
            <v>47236.144999999997</v>
          </cell>
        </row>
        <row r="23">
          <cell r="G23" t="str">
            <v>RegionMultifamily - Low RiseNew</v>
          </cell>
          <cell r="H23" t="str">
            <v>Res</v>
          </cell>
          <cell r="I23" t="str">
            <v>Multifamily - Low Rise</v>
          </cell>
          <cell r="J23" t="str">
            <v>New</v>
          </cell>
          <cell r="K23" t="str">
            <v>Buildings</v>
          </cell>
          <cell r="L23">
            <v>23280.347100904564</v>
          </cell>
          <cell r="M23">
            <v>23017.418106038647</v>
          </cell>
          <cell r="N23">
            <v>22811.60852767331</v>
          </cell>
          <cell r="O23">
            <v>22085.916378202593</v>
          </cell>
          <cell r="P23">
            <v>20817.853908138593</v>
          </cell>
          <cell r="Q23">
            <v>20070.279329962508</v>
          </cell>
          <cell r="R23">
            <v>19887.831284331631</v>
          </cell>
          <cell r="S23">
            <v>20257.583209811291</v>
          </cell>
          <cell r="T23">
            <v>20750.368029493613</v>
          </cell>
          <cell r="U23">
            <v>21314.334279744231</v>
          </cell>
          <cell r="V23">
            <v>21403.286239774712</v>
          </cell>
          <cell r="W23">
            <v>21409.137516518917</v>
          </cell>
          <cell r="X23">
            <v>21443.358292282628</v>
          </cell>
          <cell r="Y23">
            <v>21209.865626522758</v>
          </cell>
          <cell r="Z23">
            <v>20954.17798283829</v>
          </cell>
          <cell r="AA23">
            <v>20525.44023202754</v>
          </cell>
          <cell r="AB23">
            <v>20175.505597554071</v>
          </cell>
          <cell r="AC23">
            <v>19919.723927484571</v>
          </cell>
          <cell r="AD23">
            <v>19536.194066416414</v>
          </cell>
          <cell r="AE23">
            <v>19462.287131015248</v>
          </cell>
        </row>
        <row r="24">
          <cell r="G24" t="str">
            <v>RegionMultifamily - High RiseNew</v>
          </cell>
          <cell r="H24" t="str">
            <v>Res</v>
          </cell>
          <cell r="I24" t="str">
            <v>Multifamily - High Rise</v>
          </cell>
          <cell r="J24" t="str">
            <v>New</v>
          </cell>
          <cell r="K24" t="str">
            <v>Buildings</v>
          </cell>
          <cell r="L24">
            <v>5226.2387411561367</v>
          </cell>
          <cell r="M24">
            <v>5239.95312759432</v>
          </cell>
          <cell r="N24">
            <v>5271.2612760989568</v>
          </cell>
          <cell r="O24">
            <v>4985.883552972361</v>
          </cell>
          <cell r="P24">
            <v>4608.5912035798974</v>
          </cell>
          <cell r="Q24">
            <v>4509.6375960361838</v>
          </cell>
          <cell r="R24">
            <v>4481.760351096189</v>
          </cell>
          <cell r="S24">
            <v>4621.8312800578688</v>
          </cell>
          <cell r="T24">
            <v>4700.9782942419988</v>
          </cell>
          <cell r="U24">
            <v>4828.2391631488581</v>
          </cell>
          <cell r="V24">
            <v>4790.0249139778334</v>
          </cell>
          <cell r="W24">
            <v>4782.0649962402858</v>
          </cell>
          <cell r="X24">
            <v>4748.3908346265653</v>
          </cell>
          <cell r="Y24">
            <v>4733.4823682495089</v>
          </cell>
          <cell r="Z24">
            <v>4698.697177079107</v>
          </cell>
          <cell r="AA24">
            <v>4599.2987885998937</v>
          </cell>
          <cell r="AB24">
            <v>4526.3104216428001</v>
          </cell>
          <cell r="AC24">
            <v>4422.0600452822764</v>
          </cell>
          <cell r="AD24">
            <v>4405.182362066379</v>
          </cell>
          <cell r="AE24">
            <v>4385.1136986120664</v>
          </cell>
        </row>
        <row r="25">
          <cell r="G25" t="str">
            <v>RegionManufacturedNew</v>
          </cell>
          <cell r="H25" t="str">
            <v>Res</v>
          </cell>
          <cell r="I25" t="str">
            <v>Manufactured</v>
          </cell>
          <cell r="J25" t="str">
            <v>New</v>
          </cell>
          <cell r="K25" t="str">
            <v>Buildings</v>
          </cell>
          <cell r="L25">
            <v>1869.5754050925925</v>
          </cell>
          <cell r="M25">
            <v>1881.796305941358</v>
          </cell>
          <cell r="N25">
            <v>1949.1340235982509</v>
          </cell>
          <cell r="O25">
            <v>2021.1963608646258</v>
          </cell>
          <cell r="P25">
            <v>1959.5061710087307</v>
          </cell>
          <cell r="Q25">
            <v>1928.5764356212967</v>
          </cell>
          <cell r="R25">
            <v>1934.9641170211423</v>
          </cell>
          <cell r="S25">
            <v>1945.862235675901</v>
          </cell>
          <cell r="T25">
            <v>1956.539890631658</v>
          </cell>
          <cell r="U25">
            <v>1957.7742018038925</v>
          </cell>
          <cell r="V25">
            <v>1947.2038419604366</v>
          </cell>
          <cell r="W25">
            <v>1945.153453785721</v>
          </cell>
          <cell r="X25">
            <v>1947.9162901464586</v>
          </cell>
          <cell r="Y25">
            <v>1950.0749856673444</v>
          </cell>
          <cell r="Z25">
            <v>1950.7771106659191</v>
          </cell>
          <cell r="AA25">
            <v>1949.8166473382953</v>
          </cell>
          <cell r="AB25">
            <v>1948.4903882606959</v>
          </cell>
          <cell r="AC25">
            <v>1948.7048126440727</v>
          </cell>
          <cell r="AD25">
            <v>1949.296705787131</v>
          </cell>
          <cell r="AE25">
            <v>1949.5267750605763</v>
          </cell>
        </row>
        <row r="26">
          <cell r="G26" t="str">
            <v>RegionSingle FamilyExisting</v>
          </cell>
          <cell r="H26" t="str">
            <v>Res</v>
          </cell>
          <cell r="I26" t="str">
            <v>Single Family</v>
          </cell>
          <cell r="J26" t="str">
            <v>Existing</v>
          </cell>
          <cell r="K26" t="str">
            <v>Buildings</v>
          </cell>
          <cell r="L26">
            <v>4203528.2719999999</v>
          </cell>
          <cell r="M26">
            <v>4193982.9785983553</v>
          </cell>
          <cell r="N26">
            <v>4184459.3604704877</v>
          </cell>
          <cell r="O26">
            <v>4174957.36839659</v>
          </cell>
          <cell r="P26">
            <v>4165476.9532686244</v>
          </cell>
          <cell r="Q26">
            <v>4156018.0660900641</v>
          </cell>
          <cell r="R26">
            <v>4146580.6579756448</v>
          </cell>
          <cell r="S26">
            <v>4137164.6801511091</v>
          </cell>
          <cell r="T26">
            <v>4127770.0839529554</v>
          </cell>
          <cell r="U26">
            <v>4118396.8208281873</v>
          </cell>
          <cell r="V26">
            <v>4109044.8423340586</v>
          </cell>
          <cell r="W26">
            <v>4099714.1001378288</v>
          </cell>
          <cell r="X26">
            <v>4090404.5460165106</v>
          </cell>
          <cell r="Y26">
            <v>4081116.1318566194</v>
          </cell>
          <cell r="Z26">
            <v>4071848.8096539262</v>
          </cell>
          <cell r="AA26">
            <v>4062602.5315132081</v>
          </cell>
          <cell r="AB26">
            <v>4053377.2496480034</v>
          </cell>
          <cell r="AC26">
            <v>4044172.9163803621</v>
          </cell>
          <cell r="AD26">
            <v>4034989.4841406001</v>
          </cell>
          <cell r="AE26">
            <v>4025826.9054670548</v>
          </cell>
        </row>
        <row r="27">
          <cell r="G27" t="str">
            <v>RegionMultifamily - Low RiseExisting</v>
          </cell>
          <cell r="H27" t="str">
            <v>Res</v>
          </cell>
          <cell r="I27" t="str">
            <v>Multifamily - Low Rise</v>
          </cell>
          <cell r="J27" t="str">
            <v>Existing</v>
          </cell>
          <cell r="K27" t="str">
            <v>Buildings</v>
          </cell>
          <cell r="L27">
            <v>926243.25609262148</v>
          </cell>
          <cell r="M27">
            <v>924139.92640956037</v>
          </cell>
          <cell r="N27">
            <v>922041.3730050053</v>
          </cell>
          <cell r="O27">
            <v>919947.58503289847</v>
          </cell>
          <cell r="P27">
            <v>917858.55167181045</v>
          </cell>
          <cell r="Q27">
            <v>915774.26212488639</v>
          </cell>
          <cell r="R27">
            <v>913694.70561978838</v>
          </cell>
          <cell r="S27">
            <v>911619.87140864041</v>
          </cell>
          <cell r="T27">
            <v>909549.74876797362</v>
          </cell>
          <cell r="U27">
            <v>907484.32699866977</v>
          </cell>
          <cell r="V27">
            <v>905423.59542590659</v>
          </cell>
          <cell r="W27">
            <v>903367.54339910217</v>
          </cell>
          <cell r="X27">
            <v>901316.16029185988</v>
          </cell>
          <cell r="Y27">
            <v>899269.43550191447</v>
          </cell>
          <cell r="Z27">
            <v>897227.35845107585</v>
          </cell>
          <cell r="AA27">
            <v>895189.9185851753</v>
          </cell>
          <cell r="AB27">
            <v>893157.10537401051</v>
          </cell>
          <cell r="AC27">
            <v>891128.90831129183</v>
          </cell>
          <cell r="AD27">
            <v>889105.31691458682</v>
          </cell>
          <cell r="AE27">
            <v>887086.32072526717</v>
          </cell>
        </row>
        <row r="28">
          <cell r="G28" t="str">
            <v>RegionMultifamily - High RiseExisting</v>
          </cell>
          <cell r="H28" t="str">
            <v>Res</v>
          </cell>
          <cell r="I28" t="str">
            <v>Multifamily - High Rise</v>
          </cell>
          <cell r="J28" t="str">
            <v>Existing</v>
          </cell>
          <cell r="K28" t="str">
            <v>Buildings</v>
          </cell>
          <cell r="L28">
            <v>211180.07985625503</v>
          </cell>
          <cell r="M28">
            <v>210700.52836963299</v>
          </cell>
          <cell r="N28">
            <v>210222.06585706791</v>
          </cell>
          <cell r="O28">
            <v>209744.68984569819</v>
          </cell>
          <cell r="P28">
            <v>209268.39786827751</v>
          </cell>
          <cell r="Q28">
            <v>208793.18746316229</v>
          </cell>
          <cell r="R28">
            <v>208319.05617429892</v>
          </cell>
          <cell r="S28">
            <v>207846.00155121088</v>
          </cell>
          <cell r="T28">
            <v>207374.0211489865</v>
          </cell>
          <cell r="U28">
            <v>206903.11252826577</v>
          </cell>
          <cell r="V28">
            <v>206433.27325522827</v>
          </cell>
          <cell r="W28">
            <v>205964.50090158021</v>
          </cell>
          <cell r="X28">
            <v>205496.79304454199</v>
          </cell>
          <cell r="Y28">
            <v>205030.14726683579</v>
          </cell>
          <cell r="Z28">
            <v>204564.56115667295</v>
          </cell>
          <cell r="AA28">
            <v>204100.03230774152</v>
          </cell>
          <cell r="AB28">
            <v>203636.55831919383</v>
          </cell>
          <cell r="AC28">
            <v>203174.13679563423</v>
          </cell>
          <cell r="AD28">
            <v>202712.76534710638</v>
          </cell>
          <cell r="AE28">
            <v>202252.44158908122</v>
          </cell>
        </row>
        <row r="29">
          <cell r="G29" t="str">
            <v>RegionManufacturedExisting</v>
          </cell>
          <cell r="H29" t="str">
            <v>Res</v>
          </cell>
          <cell r="I29" t="str">
            <v>Manufactured</v>
          </cell>
          <cell r="J29" t="str">
            <v>Existing</v>
          </cell>
          <cell r="K29" t="str">
            <v>Buildings</v>
          </cell>
          <cell r="L29">
            <v>572006.3278356482</v>
          </cell>
          <cell r="M29">
            <v>565893.30394507048</v>
          </cell>
          <cell r="N29">
            <v>559845.60985814757</v>
          </cell>
          <cell r="O29">
            <v>553862.54739615123</v>
          </cell>
          <cell r="P29">
            <v>547943.42584177968</v>
          </cell>
          <cell r="Q29">
            <v>542087.56185941794</v>
          </cell>
          <cell r="R29">
            <v>536294.27941624937</v>
          </cell>
          <cell r="S29">
            <v>530562.90970421082</v>
          </cell>
          <cell r="T29">
            <v>524892.79106278194</v>
          </cell>
          <cell r="U29">
            <v>519283.26890259917</v>
          </cell>
          <cell r="V29">
            <v>513733.69562988722</v>
          </cell>
          <cell r="W29">
            <v>508243.4305716962</v>
          </cell>
          <cell r="X29">
            <v>502811.8399019395</v>
          </cell>
          <cell r="Y29">
            <v>497438.2965682213</v>
          </cell>
          <cell r="Z29">
            <v>492122.18021944637</v>
          </cell>
          <cell r="AA29">
            <v>486862.87713420321</v>
          </cell>
          <cell r="AB29">
            <v>481659.78014991269</v>
          </cell>
          <cell r="AC29">
            <v>476512.28859273402</v>
          </cell>
          <cell r="AD29">
            <v>471419.80820821953</v>
          </cell>
          <cell r="AE29">
            <v>466381.75109271082</v>
          </cell>
        </row>
        <row r="30">
          <cell r="G30" t="str">
            <v>RegionLarge OffNew</v>
          </cell>
          <cell r="H30" t="str">
            <v>Com</v>
          </cell>
          <cell r="I30" t="str">
            <v>Large Off</v>
          </cell>
          <cell r="J30" t="str">
            <v>New</v>
          </cell>
          <cell r="K30" t="str">
            <v>Millions SqFt</v>
          </cell>
          <cell r="L30">
            <v>7.8066550111953834</v>
          </cell>
          <cell r="M30">
            <v>5.9496992573140863</v>
          </cell>
          <cell r="N30">
            <v>5.890903545908837</v>
          </cell>
          <cell r="O30">
            <v>6.8915688291332424</v>
          </cell>
          <cell r="P30">
            <v>6.6410191533148355</v>
          </cell>
          <cell r="Q30">
            <v>5.4382226791221893</v>
          </cell>
          <cell r="R30">
            <v>6.9236851515846078</v>
          </cell>
          <cell r="S30">
            <v>6.040566884985755</v>
          </cell>
          <cell r="T30">
            <v>5.8620040343764588</v>
          </cell>
          <cell r="U30">
            <v>6.6048352977963205</v>
          </cell>
          <cell r="V30">
            <v>6.6081856774849808</v>
          </cell>
          <cell r="W30">
            <v>7.2276230030590352</v>
          </cell>
          <cell r="X30">
            <v>7.9321378463678132</v>
          </cell>
          <cell r="Y30">
            <v>7.2590370336019197</v>
          </cell>
          <cell r="Z30">
            <v>7.9122271387396417</v>
          </cell>
          <cell r="AA30">
            <v>7.7623340380974311</v>
          </cell>
          <cell r="AB30">
            <v>7.6402299023279152</v>
          </cell>
          <cell r="AC30">
            <v>7.1724831299946894</v>
          </cell>
          <cell r="AD30">
            <v>7.0810470955732994</v>
          </cell>
          <cell r="AE30">
            <v>7.4281005850341701</v>
          </cell>
        </row>
        <row r="31">
          <cell r="G31" t="str">
            <v>RegionMedium OffNew</v>
          </cell>
          <cell r="H31" t="str">
            <v>Com</v>
          </cell>
          <cell r="I31" t="str">
            <v>Medium Off</v>
          </cell>
          <cell r="J31" t="str">
            <v>New</v>
          </cell>
          <cell r="K31" t="str">
            <v>Millions SqFt</v>
          </cell>
          <cell r="L31">
            <v>6.3306892326899415</v>
          </cell>
          <cell r="M31">
            <v>4.6245517962703104</v>
          </cell>
          <cell r="N31">
            <v>4.6954401235311058</v>
          </cell>
          <cell r="O31">
            <v>5.5561738496820645</v>
          </cell>
          <cell r="P31">
            <v>5.2903315868283292</v>
          </cell>
          <cell r="Q31">
            <v>4.0954748538564614</v>
          </cell>
          <cell r="R31">
            <v>5.6166455086822502</v>
          </cell>
          <cell r="S31">
            <v>4.8928421056079552</v>
          </cell>
          <cell r="T31">
            <v>4.6489885594062974</v>
          </cell>
          <cell r="U31">
            <v>5.3600762751998365</v>
          </cell>
          <cell r="V31">
            <v>5.3451061612370649</v>
          </cell>
          <cell r="W31">
            <v>5.7169042762389006</v>
          </cell>
          <cell r="X31">
            <v>6.1644080859749115</v>
          </cell>
          <cell r="Y31">
            <v>5.8003829082546376</v>
          </cell>
          <cell r="Z31">
            <v>6.4331999103991837</v>
          </cell>
          <cell r="AA31">
            <v>6.1077443299386847</v>
          </cell>
          <cell r="AB31">
            <v>6.3133258324543373</v>
          </cell>
          <cell r="AC31">
            <v>5.5403053352108875</v>
          </cell>
          <cell r="AD31">
            <v>5.5266028757425794</v>
          </cell>
          <cell r="AE31">
            <v>5.9833355534459063</v>
          </cell>
        </row>
        <row r="32">
          <cell r="G32" t="str">
            <v>RegionSmall OffNew</v>
          </cell>
          <cell r="H32" t="str">
            <v>Com</v>
          </cell>
          <cell r="I32" t="str">
            <v>Small Off</v>
          </cell>
          <cell r="J32" t="str">
            <v>New</v>
          </cell>
          <cell r="K32" t="str">
            <v>Millions SqFt</v>
          </cell>
          <cell r="L32">
            <v>1.6621196768024407</v>
          </cell>
          <cell r="M32">
            <v>1.2170657423442173</v>
          </cell>
          <cell r="N32">
            <v>1.2444333527444498</v>
          </cell>
          <cell r="O32">
            <v>1.4586094503549032</v>
          </cell>
          <cell r="P32">
            <v>1.4004070058555529</v>
          </cell>
          <cell r="Q32">
            <v>1.0787722980410579</v>
          </cell>
          <cell r="R32">
            <v>1.4747976167420549</v>
          </cell>
          <cell r="S32">
            <v>1.2896357804774434</v>
          </cell>
          <cell r="T32">
            <v>1.2239291307589197</v>
          </cell>
          <cell r="U32">
            <v>1.4012443744673324</v>
          </cell>
          <cell r="V32">
            <v>1.3991315932028052</v>
          </cell>
          <cell r="W32">
            <v>1.4996248899933684</v>
          </cell>
          <cell r="X32">
            <v>1.6197763904689295</v>
          </cell>
          <cell r="Y32">
            <v>1.5187400891362097</v>
          </cell>
          <cell r="Z32">
            <v>1.6890757136254622</v>
          </cell>
          <cell r="AA32">
            <v>1.5972356158259797</v>
          </cell>
          <cell r="AB32">
            <v>1.640465747141107</v>
          </cell>
          <cell r="AC32">
            <v>1.4565955217811706</v>
          </cell>
          <cell r="AD32">
            <v>1.4531741906643101</v>
          </cell>
          <cell r="AE32">
            <v>1.5648660344158036</v>
          </cell>
        </row>
        <row r="33">
          <cell r="G33" t="str">
            <v>RegionXLarge RetNew</v>
          </cell>
          <cell r="H33" t="str">
            <v>Com</v>
          </cell>
          <cell r="I33" t="str">
            <v>XLarge Ret</v>
          </cell>
          <cell r="J33" t="str">
            <v>New</v>
          </cell>
          <cell r="K33" t="str">
            <v>Millions SqFt</v>
          </cell>
          <cell r="L33">
            <v>1.799418169017593</v>
          </cell>
          <cell r="M33">
            <v>1.485755176968429</v>
          </cell>
          <cell r="N33">
            <v>0.89794362681754358</v>
          </cell>
          <cell r="O33">
            <v>0.91201694404352718</v>
          </cell>
          <cell r="P33">
            <v>0.85125423267540556</v>
          </cell>
          <cell r="Q33">
            <v>0.73204497427617965</v>
          </cell>
          <cell r="R33">
            <v>0.73428349109996394</v>
          </cell>
          <cell r="S33">
            <v>0.71341173425108251</v>
          </cell>
          <cell r="T33">
            <v>0.89455902577447755</v>
          </cell>
          <cell r="U33">
            <v>1.032083805968905</v>
          </cell>
          <cell r="V33">
            <v>1.0963398187475875</v>
          </cell>
          <cell r="W33">
            <v>1.617287860192538</v>
          </cell>
          <cell r="X33">
            <v>1.8239074921539626</v>
          </cell>
          <cell r="Y33">
            <v>1.6267354909009817</v>
          </cell>
          <cell r="Z33">
            <v>1.5970323938843554</v>
          </cell>
          <cell r="AA33">
            <v>1.5393396581386409</v>
          </cell>
          <cell r="AB33">
            <v>1.2960530677092543</v>
          </cell>
          <cell r="AC33">
            <v>1.3176455108269955</v>
          </cell>
          <cell r="AD33">
            <v>1.2469979474733393</v>
          </cell>
          <cell r="AE33">
            <v>1.3540449607593745</v>
          </cell>
        </row>
        <row r="34">
          <cell r="G34" t="str">
            <v>RegionLarge RetNew</v>
          </cell>
          <cell r="H34" t="str">
            <v>Com</v>
          </cell>
          <cell r="I34" t="str">
            <v>Large Ret</v>
          </cell>
          <cell r="J34" t="str">
            <v>New</v>
          </cell>
          <cell r="K34" t="str">
            <v>Millions SqFt</v>
          </cell>
          <cell r="L34">
            <v>0.71960427219664069</v>
          </cell>
          <cell r="M34">
            <v>0.59647847099566831</v>
          </cell>
          <cell r="N34">
            <v>0.36611838042447359</v>
          </cell>
          <cell r="O34">
            <v>0.3731768350638246</v>
          </cell>
          <cell r="P34">
            <v>0.34504559304633386</v>
          </cell>
          <cell r="Q34">
            <v>0.2928623587115301</v>
          </cell>
          <cell r="R34">
            <v>0.29376294298921468</v>
          </cell>
          <cell r="S34">
            <v>0.28416308329236456</v>
          </cell>
          <cell r="T34">
            <v>0.36455471421578001</v>
          </cell>
          <cell r="U34">
            <v>0.42646627810709853</v>
          </cell>
          <cell r="V34">
            <v>0.44956380488737768</v>
          </cell>
          <cell r="W34">
            <v>0.65213839834683018</v>
          </cell>
          <cell r="X34">
            <v>0.73353807331773047</v>
          </cell>
          <cell r="Y34">
            <v>0.65560780242911365</v>
          </cell>
          <cell r="Z34">
            <v>0.64604928436358278</v>
          </cell>
          <cell r="AA34">
            <v>0.62178261445398098</v>
          </cell>
          <cell r="AB34">
            <v>0.52554853465709617</v>
          </cell>
          <cell r="AC34">
            <v>0.53266253778165396</v>
          </cell>
          <cell r="AD34">
            <v>0.50454130308386236</v>
          </cell>
          <cell r="AE34">
            <v>0.54553111610891503</v>
          </cell>
        </row>
        <row r="35">
          <cell r="G35" t="str">
            <v>RegionMedium RetNew</v>
          </cell>
          <cell r="H35" t="str">
            <v>Com</v>
          </cell>
          <cell r="I35" t="str">
            <v>Medium Ret</v>
          </cell>
          <cell r="J35" t="str">
            <v>New</v>
          </cell>
          <cell r="K35" t="str">
            <v>Millions SqFt</v>
          </cell>
          <cell r="L35">
            <v>2.7275899469990224</v>
          </cell>
          <cell r="M35">
            <v>2.2451802625726844</v>
          </cell>
          <cell r="N35">
            <v>1.3846551620328988</v>
          </cell>
          <cell r="O35">
            <v>1.414332931216091</v>
          </cell>
          <cell r="P35">
            <v>1.3048976182463843</v>
          </cell>
          <cell r="Q35">
            <v>1.1035456427042536</v>
          </cell>
          <cell r="R35">
            <v>1.0932193385059683</v>
          </cell>
          <cell r="S35">
            <v>1.0602010304011045</v>
          </cell>
          <cell r="T35">
            <v>1.3687417218066935</v>
          </cell>
          <cell r="U35">
            <v>1.6102119957699914</v>
          </cell>
          <cell r="V35">
            <v>1.7014476793012303</v>
          </cell>
          <cell r="W35">
            <v>2.4475448442766612</v>
          </cell>
          <cell r="X35">
            <v>2.7642584104961641</v>
          </cell>
          <cell r="Y35">
            <v>2.4645092385842489</v>
          </cell>
          <cell r="Z35">
            <v>2.435211674558635</v>
          </cell>
          <cell r="AA35">
            <v>2.3436666024455817</v>
          </cell>
          <cell r="AB35">
            <v>1.9970991421399598</v>
          </cell>
          <cell r="AC35">
            <v>2.0220850932468024</v>
          </cell>
          <cell r="AD35">
            <v>1.9074632582746243</v>
          </cell>
          <cell r="AE35">
            <v>2.0633846520749657</v>
          </cell>
        </row>
        <row r="36">
          <cell r="G36" t="str">
            <v>RegionSmall RetNew</v>
          </cell>
          <cell r="H36" t="str">
            <v>Com</v>
          </cell>
          <cell r="I36" t="str">
            <v>Small Ret</v>
          </cell>
          <cell r="J36" t="str">
            <v>New</v>
          </cell>
          <cell r="K36" t="str">
            <v>Millions SqFt</v>
          </cell>
          <cell r="L36">
            <v>0.86249938561661099</v>
          </cell>
          <cell r="M36">
            <v>0.71243811393533818</v>
          </cell>
          <cell r="N36">
            <v>0.43988135050703958</v>
          </cell>
          <cell r="O36">
            <v>0.44879648252082133</v>
          </cell>
          <cell r="P36">
            <v>0.41374173801952452</v>
          </cell>
          <cell r="Q36">
            <v>0.34301620014224921</v>
          </cell>
          <cell r="R36">
            <v>0.33946657261656726</v>
          </cell>
          <cell r="S36">
            <v>0.32965754978673117</v>
          </cell>
          <cell r="T36">
            <v>0.43689232903555525</v>
          </cell>
          <cell r="U36">
            <v>0.51886957722704219</v>
          </cell>
          <cell r="V36">
            <v>0.54817313334918127</v>
          </cell>
          <cell r="W36">
            <v>0.77969532117377649</v>
          </cell>
          <cell r="X36">
            <v>0.87858644381951334</v>
          </cell>
          <cell r="Y36">
            <v>0.78420074698109388</v>
          </cell>
          <cell r="Z36">
            <v>0.77728841592354081</v>
          </cell>
          <cell r="AA36">
            <v>0.74886674252534069</v>
          </cell>
          <cell r="AB36">
            <v>0.63964179951326661</v>
          </cell>
          <cell r="AC36">
            <v>0.64714740319049269</v>
          </cell>
          <cell r="AD36">
            <v>0.61166389038687663</v>
          </cell>
          <cell r="AE36">
            <v>0.66242443593788758</v>
          </cell>
        </row>
        <row r="37">
          <cell r="G37" t="str">
            <v>RegionSchool K-12New</v>
          </cell>
          <cell r="H37" t="str">
            <v>Com</v>
          </cell>
          <cell r="I37" t="str">
            <v>School K-12</v>
          </cell>
          <cell r="J37" t="str">
            <v>New</v>
          </cell>
          <cell r="K37" t="str">
            <v>Millions SqFt</v>
          </cell>
          <cell r="L37">
            <v>0.49337113702797691</v>
          </cell>
          <cell r="M37">
            <v>1.1029723159217257</v>
          </cell>
          <cell r="N37">
            <v>0.94992456965043459</v>
          </cell>
          <cell r="O37">
            <v>0.71720701164062661</v>
          </cell>
          <cell r="P37">
            <v>0.7442281187428561</v>
          </cell>
          <cell r="Q37">
            <v>0.85140099810585501</v>
          </cell>
          <cell r="R37">
            <v>0.99139466996200198</v>
          </cell>
          <cell r="S37">
            <v>1.5014629353162949</v>
          </cell>
          <cell r="T37">
            <v>1.8697826256608596</v>
          </cell>
          <cell r="U37">
            <v>1.6452707482432332</v>
          </cell>
          <cell r="V37">
            <v>1.6753181172445872</v>
          </cell>
          <cell r="W37">
            <v>1.7943041099264481</v>
          </cell>
          <cell r="X37">
            <v>1.8624299937819393</v>
          </cell>
          <cell r="Y37">
            <v>1.7489264522150836</v>
          </cell>
          <cell r="Z37">
            <v>1.7975598556031414</v>
          </cell>
          <cell r="AA37">
            <v>1.6195220459723754</v>
          </cell>
          <cell r="AB37">
            <v>1.8221433074925411</v>
          </cell>
          <cell r="AC37">
            <v>1.6336676691608698</v>
          </cell>
          <cell r="AD37">
            <v>1.7826242149357872</v>
          </cell>
          <cell r="AE37">
            <v>1.6891002859244486</v>
          </cell>
        </row>
        <row r="38">
          <cell r="G38" t="str">
            <v>RegionUniversityNew</v>
          </cell>
          <cell r="H38" t="str">
            <v>Com</v>
          </cell>
          <cell r="I38" t="str">
            <v>University</v>
          </cell>
          <cell r="J38" t="str">
            <v>New</v>
          </cell>
          <cell r="K38" t="str">
            <v>Millions SqFt</v>
          </cell>
          <cell r="L38">
            <v>0.2800209986196866</v>
          </cell>
          <cell r="M38">
            <v>0.29719871383536939</v>
          </cell>
          <cell r="N38">
            <v>0.58203115602335975</v>
          </cell>
          <cell r="O38">
            <v>0.83189457735737737</v>
          </cell>
          <cell r="P38">
            <v>0.66610454718876777</v>
          </cell>
          <cell r="Q38">
            <v>0.73648247778559484</v>
          </cell>
          <cell r="R38">
            <v>0.64334185638367225</v>
          </cell>
          <cell r="S38">
            <v>0.97289424291238524</v>
          </cell>
          <cell r="T38">
            <v>1.1820978013224126</v>
          </cell>
          <cell r="U38">
            <v>1.1785313924254113</v>
          </cell>
          <cell r="V38">
            <v>1.2952038876416079</v>
          </cell>
          <cell r="W38">
            <v>1.3229243736280945</v>
          </cell>
          <cell r="X38">
            <v>1.422909455419719</v>
          </cell>
          <cell r="Y38">
            <v>1.4430187909981058</v>
          </cell>
          <cell r="Z38">
            <v>1.2923971403480323</v>
          </cell>
          <cell r="AA38">
            <v>1.1785050733908478</v>
          </cell>
          <cell r="AB38">
            <v>1.3433889489273994</v>
          </cell>
          <cell r="AC38">
            <v>1.2265545990556588</v>
          </cell>
          <cell r="AD38">
            <v>1.2571458643971927</v>
          </cell>
          <cell r="AE38">
            <v>1.2979913333963795</v>
          </cell>
        </row>
        <row r="39">
          <cell r="G39" t="str">
            <v>RegionWarehouseNew</v>
          </cell>
          <cell r="H39" t="str">
            <v>Com</v>
          </cell>
          <cell r="I39" t="str">
            <v>Warehouse</v>
          </cell>
          <cell r="J39" t="str">
            <v>New</v>
          </cell>
          <cell r="K39" t="str">
            <v>Millions SqFt</v>
          </cell>
          <cell r="L39">
            <v>7.6586609772993617</v>
          </cell>
          <cell r="M39">
            <v>7.5774552212762423</v>
          </cell>
          <cell r="N39">
            <v>5.6453939930651131</v>
          </cell>
          <cell r="O39">
            <v>4.800793231843981</v>
          </cell>
          <cell r="P39">
            <v>3.5881391412601156</v>
          </cell>
          <cell r="Q39">
            <v>3.1529819033971824</v>
          </cell>
          <cell r="R39">
            <v>4.0691744688008198</v>
          </cell>
          <cell r="S39">
            <v>4.5400289951106014</v>
          </cell>
          <cell r="T39">
            <v>4.8555474587969272</v>
          </cell>
          <cell r="U39">
            <v>4.6966359797376018</v>
          </cell>
          <cell r="V39">
            <v>4.8557170740974245</v>
          </cell>
          <cell r="W39">
            <v>4.451750056135543</v>
          </cell>
          <cell r="X39">
            <v>3.8657972013430704</v>
          </cell>
          <cell r="Y39">
            <v>3.9817445148405937</v>
          </cell>
          <cell r="Z39">
            <v>3.9951806948216846</v>
          </cell>
          <cell r="AA39">
            <v>4.4738164673360306</v>
          </cell>
          <cell r="AB39">
            <v>4.2737219736102183</v>
          </cell>
          <cell r="AC39">
            <v>4.0870251812551333</v>
          </cell>
          <cell r="AD39">
            <v>4.137725578117939</v>
          </cell>
          <cell r="AE39">
            <v>3.6922064696454697</v>
          </cell>
        </row>
        <row r="40">
          <cell r="G40" t="str">
            <v>RegionSupermarketNew</v>
          </cell>
          <cell r="H40" t="str">
            <v>Com</v>
          </cell>
          <cell r="I40" t="str">
            <v>Supermarket</v>
          </cell>
          <cell r="J40" t="str">
            <v>New</v>
          </cell>
          <cell r="K40" t="str">
            <v>Millions SqFt</v>
          </cell>
          <cell r="L40">
            <v>0.38924897939746522</v>
          </cell>
          <cell r="M40">
            <v>0.34341311895347121</v>
          </cell>
          <cell r="N40">
            <v>0.29927348040561341</v>
          </cell>
          <cell r="O40">
            <v>0.29688874456634085</v>
          </cell>
          <cell r="P40">
            <v>0.29379933994281465</v>
          </cell>
          <cell r="Q40">
            <v>0.29041766271303127</v>
          </cell>
          <cell r="R40">
            <v>0.28614144770449462</v>
          </cell>
          <cell r="S40">
            <v>0.28163861967746157</v>
          </cell>
          <cell r="T40">
            <v>0.27688800876616482</v>
          </cell>
          <cell r="U40">
            <v>0.27357754310134663</v>
          </cell>
          <cell r="V40">
            <v>0.27063184585003941</v>
          </cell>
          <cell r="W40">
            <v>0.26801411864303953</v>
          </cell>
          <cell r="X40">
            <v>0.26660240614409092</v>
          </cell>
          <cell r="Y40">
            <v>0.25138198684402913</v>
          </cell>
          <cell r="Z40">
            <v>0.26455339135243683</v>
          </cell>
          <cell r="AA40">
            <v>0.26299167309250365</v>
          </cell>
          <cell r="AB40">
            <v>0.26140909607327911</v>
          </cell>
          <cell r="AC40">
            <v>0.25947687815142023</v>
          </cell>
          <cell r="AD40">
            <v>0.25750619496776178</v>
          </cell>
          <cell r="AE40">
            <v>0.25562560804995926</v>
          </cell>
        </row>
        <row r="41">
          <cell r="G41" t="str">
            <v>RegionMiniMartNew</v>
          </cell>
          <cell r="H41" t="str">
            <v>Com</v>
          </cell>
          <cell r="I41" t="str">
            <v>MiniMart</v>
          </cell>
          <cell r="J41" t="str">
            <v>New</v>
          </cell>
          <cell r="K41" t="str">
            <v>Millions SqFt</v>
          </cell>
          <cell r="L41">
            <v>0.19765540078516197</v>
          </cell>
          <cell r="M41">
            <v>0.18600542935034625</v>
          </cell>
          <cell r="N41">
            <v>9.5760802585072302E-2</v>
          </cell>
          <cell r="O41">
            <v>0.10062051473914659</v>
          </cell>
          <cell r="P41">
            <v>8.5646792534183808E-2</v>
          </cell>
          <cell r="Q41">
            <v>6.5415041923045286E-2</v>
          </cell>
          <cell r="R41">
            <v>5.7242996146950373E-2</v>
          </cell>
          <cell r="S41">
            <v>5.5087150941189433E-2</v>
          </cell>
          <cell r="T41">
            <v>7.3916214299540497E-2</v>
          </cell>
          <cell r="U41">
            <v>9.2056169088318471E-2</v>
          </cell>
          <cell r="V41">
            <v>0.10393709432109566</v>
          </cell>
          <cell r="W41">
            <v>0.15172170448022598</v>
          </cell>
          <cell r="X41">
            <v>0.15706997726929292</v>
          </cell>
          <cell r="Y41">
            <v>0.14510580631504899</v>
          </cell>
          <cell r="Z41">
            <v>0.15272706829792246</v>
          </cell>
          <cell r="AA41">
            <v>0.14104647748606622</v>
          </cell>
          <cell r="AB41">
            <v>0.11700741064540764</v>
          </cell>
          <cell r="AC41">
            <v>0.1200067315077773</v>
          </cell>
          <cell r="AD41">
            <v>0.11457442878633581</v>
          </cell>
          <cell r="AE41">
            <v>0.1211768182439132</v>
          </cell>
        </row>
        <row r="42">
          <cell r="G42" t="str">
            <v>RegionRestaurantNew</v>
          </cell>
          <cell r="H42" t="str">
            <v>Com</v>
          </cell>
          <cell r="I42" t="str">
            <v>Restaurant</v>
          </cell>
          <cell r="J42" t="str">
            <v>New</v>
          </cell>
          <cell r="K42" t="str">
            <v>Millions SqFt</v>
          </cell>
          <cell r="L42">
            <v>0.46894871790011039</v>
          </cell>
          <cell r="M42">
            <v>0.47387410836125871</v>
          </cell>
          <cell r="N42">
            <v>0.45144590813821411</v>
          </cell>
          <cell r="O42">
            <v>0.4505136151455652</v>
          </cell>
          <cell r="P42">
            <v>0.44778046039172248</v>
          </cell>
          <cell r="Q42">
            <v>0.44523396067124349</v>
          </cell>
          <cell r="R42">
            <v>0.44273536313864043</v>
          </cell>
          <cell r="S42">
            <v>0.4399078135546039</v>
          </cell>
          <cell r="T42">
            <v>0.43708606600163591</v>
          </cell>
          <cell r="U42">
            <v>0.43513915585550955</v>
          </cell>
          <cell r="V42">
            <v>0.43580404899906589</v>
          </cell>
          <cell r="W42">
            <v>0.59161866303702282</v>
          </cell>
          <cell r="X42">
            <v>0.66467702134516005</v>
          </cell>
          <cell r="Y42">
            <v>0.65353995366480533</v>
          </cell>
          <cell r="Z42">
            <v>0.676060915960916</v>
          </cell>
          <cell r="AA42">
            <v>0.70559825286541389</v>
          </cell>
          <cell r="AB42">
            <v>0.63206878506691044</v>
          </cell>
          <cell r="AC42">
            <v>0.63726309269471215</v>
          </cell>
          <cell r="AD42">
            <v>0.5828366650853003</v>
          </cell>
          <cell r="AE42">
            <v>0.63928201324113043</v>
          </cell>
        </row>
        <row r="43">
          <cell r="G43" t="str">
            <v>RegionLodgingNew</v>
          </cell>
          <cell r="H43" t="str">
            <v>Com</v>
          </cell>
          <cell r="I43" t="str">
            <v>Lodging</v>
          </cell>
          <cell r="J43" t="str">
            <v>New</v>
          </cell>
          <cell r="K43" t="str">
            <v>Millions SqFt</v>
          </cell>
          <cell r="L43">
            <v>1.0326774321313152</v>
          </cell>
          <cell r="M43">
            <v>1.0158776160943388</v>
          </cell>
          <cell r="N43">
            <v>0.74304915446037911</v>
          </cell>
          <cell r="O43">
            <v>0.76054102414226543</v>
          </cell>
          <cell r="P43">
            <v>0.65616402459427536</v>
          </cell>
          <cell r="Q43">
            <v>0.62755023267601961</v>
          </cell>
          <cell r="R43">
            <v>0.61023293273354484</v>
          </cell>
          <cell r="S43">
            <v>0.60571699788717037</v>
          </cell>
          <cell r="T43">
            <v>0.65097903457434547</v>
          </cell>
          <cell r="U43">
            <v>0.69319811486407867</v>
          </cell>
          <cell r="V43">
            <v>0.78843795894088464</v>
          </cell>
          <cell r="W43">
            <v>1.3645659476947984</v>
          </cell>
          <cell r="X43">
            <v>1.6032227373726178</v>
          </cell>
          <cell r="Y43">
            <v>1.6412696995684901</v>
          </cell>
          <cell r="Z43">
            <v>1.670283030615213</v>
          </cell>
          <cell r="AA43">
            <v>1.755661848186447</v>
          </cell>
          <cell r="AB43">
            <v>1.4871375295645746</v>
          </cell>
          <cell r="AC43">
            <v>1.4400033906080374</v>
          </cell>
          <cell r="AD43">
            <v>1.3499648074414823</v>
          </cell>
          <cell r="AE43">
            <v>1.4487057151095009</v>
          </cell>
        </row>
        <row r="44">
          <cell r="G44" t="str">
            <v>RegionHospitalNew</v>
          </cell>
          <cell r="H44" t="str">
            <v>Com</v>
          </cell>
          <cell r="I44" t="str">
            <v>Hospital</v>
          </cell>
          <cell r="J44" t="str">
            <v>New</v>
          </cell>
          <cell r="K44" t="str">
            <v>Millions SqFt</v>
          </cell>
          <cell r="L44">
            <v>4.1336070304911159</v>
          </cell>
          <cell r="M44">
            <v>3.5601449453189118</v>
          </cell>
          <cell r="N44">
            <v>3.2007770264658664</v>
          </cell>
          <cell r="O44">
            <v>2.6531465767673241</v>
          </cell>
          <cell r="P44">
            <v>1.8730082465149496</v>
          </cell>
          <cell r="Q44">
            <v>1.6467285324389391</v>
          </cell>
          <cell r="R44">
            <v>1.5196240263467067</v>
          </cell>
          <cell r="S44">
            <v>1.3328145698119136</v>
          </cell>
          <cell r="T44">
            <v>1.3372342578617185</v>
          </cell>
          <cell r="U44">
            <v>1.4086686461757902</v>
          </cell>
          <cell r="V44">
            <v>1.6725933548501446</v>
          </cell>
          <cell r="W44">
            <v>2.0158466086985318</v>
          </cell>
          <cell r="X44">
            <v>2.3033709594417431</v>
          </cell>
          <cell r="Y44">
            <v>2.063930246052466</v>
          </cell>
          <cell r="Z44">
            <v>1.9880083370090949</v>
          </cell>
          <cell r="AA44">
            <v>1.9342270452860566</v>
          </cell>
          <cell r="AB44">
            <v>1.774507966199161</v>
          </cell>
          <cell r="AC44">
            <v>1.6723841845019074</v>
          </cell>
          <cell r="AD44">
            <v>1.5414284807799123</v>
          </cell>
          <cell r="AE44">
            <v>1.5563040522680198</v>
          </cell>
        </row>
        <row r="45">
          <cell r="G45" t="str">
            <v>RegionResidential CareNew</v>
          </cell>
          <cell r="H45" t="str">
            <v>Com</v>
          </cell>
          <cell r="I45" t="str">
            <v>Residential Care</v>
          </cell>
          <cell r="J45" t="str">
            <v>New</v>
          </cell>
          <cell r="K45" t="str">
            <v>Millions SqFt</v>
          </cell>
          <cell r="L45">
            <v>4.5029406937179912</v>
          </cell>
          <cell r="M45">
            <v>4.0786070344439063</v>
          </cell>
          <cell r="N45">
            <v>3.5919834720533679</v>
          </cell>
          <cell r="O45">
            <v>3.0400934926407626</v>
          </cell>
          <cell r="P45">
            <v>2.3018670718031324</v>
          </cell>
          <cell r="Q45">
            <v>2.1321468422073435</v>
          </cell>
          <cell r="R45">
            <v>1.9771504564110642</v>
          </cell>
          <cell r="S45">
            <v>1.8096072137015302</v>
          </cell>
          <cell r="T45">
            <v>1.9023478055732992</v>
          </cell>
          <cell r="U45">
            <v>2.0129777404511922</v>
          </cell>
          <cell r="V45">
            <v>2.304026079874093</v>
          </cell>
          <cell r="W45">
            <v>2.7992417645016405</v>
          </cell>
          <cell r="X45">
            <v>3.0682339807477179</v>
          </cell>
          <cell r="Y45">
            <v>2.7441690138981158</v>
          </cell>
          <cell r="Z45">
            <v>2.8046561391012603</v>
          </cell>
          <cell r="AA45">
            <v>2.7282838662201567</v>
          </cell>
          <cell r="AB45">
            <v>2.4959637785038216</v>
          </cell>
          <cell r="AC45">
            <v>2.4392052334479857</v>
          </cell>
          <cell r="AD45">
            <v>2.3386950979959957</v>
          </cell>
          <cell r="AE45">
            <v>2.3103955399373803</v>
          </cell>
        </row>
        <row r="46">
          <cell r="G46" t="str">
            <v>RegionAssemblyNew</v>
          </cell>
          <cell r="H46" t="str">
            <v>Com</v>
          </cell>
          <cell r="I46" t="str">
            <v>Assembly</v>
          </cell>
          <cell r="J46" t="str">
            <v>New</v>
          </cell>
          <cell r="K46" t="str">
            <v>Millions SqFt</v>
          </cell>
          <cell r="L46">
            <v>3.1854829351393543</v>
          </cell>
          <cell r="M46">
            <v>3.1699057451518957</v>
          </cell>
          <cell r="N46">
            <v>2.2628528186826316</v>
          </cell>
          <cell r="O46">
            <v>2.6023617076700645</v>
          </cell>
          <cell r="P46">
            <v>2.2919684786454506</v>
          </cell>
          <cell r="Q46">
            <v>2.1556450092355899</v>
          </cell>
          <cell r="R46">
            <v>1.4820394508668711</v>
          </cell>
          <cell r="S46">
            <v>1.5603361472368396</v>
          </cell>
          <cell r="T46">
            <v>2.3546097038898557</v>
          </cell>
          <cell r="U46">
            <v>3.2740386396924066</v>
          </cell>
          <cell r="V46">
            <v>3.6241751874536021</v>
          </cell>
          <cell r="W46">
            <v>4.4420137300219826</v>
          </cell>
          <cell r="X46">
            <v>5.8224273473135861</v>
          </cell>
          <cell r="Y46">
            <v>6.4604400946422142</v>
          </cell>
          <cell r="Z46">
            <v>6.9014803298142597</v>
          </cell>
          <cell r="AA46">
            <v>6.748515751490312</v>
          </cell>
          <cell r="AB46">
            <v>6.4364694734288266</v>
          </cell>
          <cell r="AC46">
            <v>6.3053235195290611</v>
          </cell>
          <cell r="AD46">
            <v>6.2236620394663484</v>
          </cell>
          <cell r="AE46">
            <v>6.0386522880717726</v>
          </cell>
        </row>
        <row r="47">
          <cell r="G47" t="str">
            <v>RegionOtherNew</v>
          </cell>
          <cell r="H47" t="str">
            <v>Com</v>
          </cell>
          <cell r="I47" t="str">
            <v>Other</v>
          </cell>
          <cell r="J47" t="str">
            <v>New</v>
          </cell>
          <cell r="K47" t="str">
            <v>Millions SqFt</v>
          </cell>
          <cell r="L47">
            <v>12.863107129152304</v>
          </cell>
          <cell r="M47">
            <v>10.7220378193485</v>
          </cell>
          <cell r="N47">
            <v>10.142128438066296</v>
          </cell>
          <cell r="O47">
            <v>9.4611923499879236</v>
          </cell>
          <cell r="P47">
            <v>7.3638556881373223</v>
          </cell>
          <cell r="Q47">
            <v>8.1591439254269407</v>
          </cell>
          <cell r="R47">
            <v>7.9603673258815011</v>
          </cell>
          <cell r="S47">
            <v>8.6026166911432824</v>
          </cell>
          <cell r="T47">
            <v>9.3207800366095146</v>
          </cell>
          <cell r="U47">
            <v>9.0572786632714859</v>
          </cell>
          <cell r="V47">
            <v>10.184423730877143</v>
          </cell>
          <cell r="W47">
            <v>10.787657533789663</v>
          </cell>
          <cell r="X47">
            <v>11.005378574708409</v>
          </cell>
          <cell r="Y47">
            <v>10.267063981307951</v>
          </cell>
          <cell r="Z47">
            <v>11.027475862918971</v>
          </cell>
          <cell r="AA47">
            <v>9.9609233822623686</v>
          </cell>
          <cell r="AB47">
            <v>10.340047869658916</v>
          </cell>
          <cell r="AC47">
            <v>9.8383849729989699</v>
          </cell>
          <cell r="AD47">
            <v>9.3282989614436094</v>
          </cell>
          <cell r="AE47">
            <v>9.0355729282982153</v>
          </cell>
        </row>
        <row r="48">
          <cell r="G48" t="str">
            <v>RegionLarge OffStock 2016</v>
          </cell>
          <cell r="H48" t="str">
            <v>Com</v>
          </cell>
          <cell r="I48" t="str">
            <v>Large Off</v>
          </cell>
          <cell r="J48" t="str">
            <v>Stock 2016</v>
          </cell>
          <cell r="K48" t="str">
            <v>Millions SqFt</v>
          </cell>
          <cell r="L48">
            <v>380.08828477966154</v>
          </cell>
          <cell r="M48">
            <v>378.94801992532251</v>
          </cell>
          <cell r="N48">
            <v>377.81117586554655</v>
          </cell>
          <cell r="O48">
            <v>376.67774233794995</v>
          </cell>
          <cell r="P48">
            <v>375.54770911093607</v>
          </cell>
          <cell r="Q48">
            <v>374.42106598360328</v>
          </cell>
          <cell r="R48">
            <v>373.29780278565244</v>
          </cell>
          <cell r="S48">
            <v>372.17790937729552</v>
          </cell>
          <cell r="T48">
            <v>371.06137564916361</v>
          </cell>
          <cell r="U48">
            <v>369.94819152221612</v>
          </cell>
          <cell r="V48">
            <v>368.83834694764948</v>
          </cell>
          <cell r="W48">
            <v>367.73183190680658</v>
          </cell>
          <cell r="X48">
            <v>366.62863641108612</v>
          </cell>
          <cell r="Y48">
            <v>365.52875050185287</v>
          </cell>
          <cell r="Z48">
            <v>364.43216425034728</v>
          </cell>
          <cell r="AA48">
            <v>363.33886775759629</v>
          </cell>
          <cell r="AB48">
            <v>362.24885115432346</v>
          </cell>
          <cell r="AC48">
            <v>361.16210460086046</v>
          </cell>
          <cell r="AD48">
            <v>360.07861828705791</v>
          </cell>
          <cell r="AE48">
            <v>358.99838243219671</v>
          </cell>
        </row>
        <row r="49">
          <cell r="G49" t="str">
            <v>RegionMedium OffStock 2016</v>
          </cell>
          <cell r="H49" t="str">
            <v>Com</v>
          </cell>
          <cell r="I49" t="str">
            <v>Medium Off</v>
          </cell>
          <cell r="J49" t="str">
            <v>Stock 2016</v>
          </cell>
          <cell r="K49" t="str">
            <v>Millions SqFt</v>
          </cell>
          <cell r="L49">
            <v>190.73687138333023</v>
          </cell>
          <cell r="M49">
            <v>190.16466076918024</v>
          </cell>
          <cell r="N49">
            <v>189.59416678687271</v>
          </cell>
          <cell r="O49">
            <v>189.02538428651209</v>
          </cell>
          <cell r="P49">
            <v>188.45830813365254</v>
          </cell>
          <cell r="Q49">
            <v>187.89293320925157</v>
          </cell>
          <cell r="R49">
            <v>187.32925440962381</v>
          </cell>
          <cell r="S49">
            <v>186.76726664639497</v>
          </cell>
          <cell r="T49">
            <v>186.20696484645578</v>
          </cell>
          <cell r="U49">
            <v>185.64834395191642</v>
          </cell>
          <cell r="V49">
            <v>185.09139892006067</v>
          </cell>
          <cell r="W49">
            <v>184.5361247233005</v>
          </cell>
          <cell r="X49">
            <v>183.98251634913058</v>
          </cell>
          <cell r="Y49">
            <v>183.43056880008319</v>
          </cell>
          <cell r="Z49">
            <v>182.88027709368296</v>
          </cell>
          <cell r="AA49">
            <v>182.33163626240187</v>
          </cell>
          <cell r="AB49">
            <v>181.78464135361469</v>
          </cell>
          <cell r="AC49">
            <v>181.23928742955383</v>
          </cell>
          <cell r="AD49">
            <v>180.69556956726515</v>
          </cell>
          <cell r="AE49">
            <v>180.15348285856339</v>
          </cell>
        </row>
        <row r="50">
          <cell r="G50" t="str">
            <v>RegionSmall OffStock 2016</v>
          </cell>
          <cell r="H50" t="str">
            <v>Com</v>
          </cell>
          <cell r="I50" t="str">
            <v>Small Off</v>
          </cell>
          <cell r="J50" t="str">
            <v>Stock 2016</v>
          </cell>
          <cell r="K50" t="str">
            <v>Millions SqFt</v>
          </cell>
          <cell r="L50">
            <v>184.0913556049378</v>
          </cell>
          <cell r="M50">
            <v>183.53908153812301</v>
          </cell>
          <cell r="N50">
            <v>182.98846429350866</v>
          </cell>
          <cell r="O50">
            <v>182.43949890062811</v>
          </cell>
          <cell r="P50">
            <v>181.89218040392623</v>
          </cell>
          <cell r="Q50">
            <v>181.34650386271446</v>
          </cell>
          <cell r="R50">
            <v>180.80246435112633</v>
          </cell>
          <cell r="S50">
            <v>180.26005695807294</v>
          </cell>
          <cell r="T50">
            <v>179.71927678719871</v>
          </cell>
          <cell r="U50">
            <v>179.18011895683713</v>
          </cell>
          <cell r="V50">
            <v>178.64257859996661</v>
          </cell>
          <cell r="W50">
            <v>178.10665086416668</v>
          </cell>
          <cell r="X50">
            <v>177.57233091157423</v>
          </cell>
          <cell r="Y50">
            <v>177.03961391883951</v>
          </cell>
          <cell r="Z50">
            <v>176.50849507708296</v>
          </cell>
          <cell r="AA50">
            <v>175.97896959185172</v>
          </cell>
          <cell r="AB50">
            <v>175.45103268307616</v>
          </cell>
          <cell r="AC50">
            <v>174.92467958502692</v>
          </cell>
          <cell r="AD50">
            <v>174.39990554627184</v>
          </cell>
          <cell r="AE50">
            <v>173.87670582963304</v>
          </cell>
        </row>
        <row r="51">
          <cell r="G51" t="str">
            <v>RegionXLarge RetStock 2016</v>
          </cell>
          <cell r="H51" t="str">
            <v>Com</v>
          </cell>
          <cell r="I51" t="str">
            <v>XLarge Ret</v>
          </cell>
          <cell r="J51" t="str">
            <v>Stock 2016</v>
          </cell>
          <cell r="K51" t="str">
            <v>Millions SqFt</v>
          </cell>
          <cell r="L51">
            <v>138.35734062238015</v>
          </cell>
          <cell r="M51">
            <v>137.7208968555172</v>
          </cell>
          <cell r="N51">
            <v>137.08738072998179</v>
          </cell>
          <cell r="O51">
            <v>136.45677877862389</v>
          </cell>
          <cell r="P51">
            <v>135.8290775962422</v>
          </cell>
          <cell r="Q51">
            <v>135.20426383929947</v>
          </cell>
          <cell r="R51">
            <v>134.5823242256387</v>
          </cell>
          <cell r="S51">
            <v>133.96324553420075</v>
          </cell>
          <cell r="T51">
            <v>133.34701460474344</v>
          </cell>
          <cell r="U51">
            <v>132.73361833756161</v>
          </cell>
          <cell r="V51">
            <v>132.12304369320884</v>
          </cell>
          <cell r="W51">
            <v>131.51527769222005</v>
          </cell>
          <cell r="X51">
            <v>130.91030741483584</v>
          </cell>
          <cell r="Y51">
            <v>130.3081200007276</v>
          </cell>
          <cell r="Z51">
            <v>129.70870264872423</v>
          </cell>
          <cell r="AA51">
            <v>129.11204261654012</v>
          </cell>
          <cell r="AB51">
            <v>128.51812722050403</v>
          </cell>
          <cell r="AC51">
            <v>127.92694383528971</v>
          </cell>
          <cell r="AD51">
            <v>127.33847989364737</v>
          </cell>
          <cell r="AE51">
            <v>126.75272288613657</v>
          </cell>
        </row>
        <row r="52">
          <cell r="G52" t="str">
            <v>RegionLarge RetStock 2016</v>
          </cell>
          <cell r="H52" t="str">
            <v>Com</v>
          </cell>
          <cell r="I52" t="str">
            <v>Large Ret</v>
          </cell>
          <cell r="J52" t="str">
            <v>Stock 2016</v>
          </cell>
          <cell r="K52" t="str">
            <v>Millions SqFt</v>
          </cell>
          <cell r="L52">
            <v>208.9574509880029</v>
          </cell>
          <cell r="M52">
            <v>207.99624671345808</v>
          </cell>
          <cell r="N52">
            <v>207.03946397857615</v>
          </cell>
          <cell r="O52">
            <v>206.0870824442747</v>
          </cell>
          <cell r="P52">
            <v>205.13908186503102</v>
          </cell>
          <cell r="Q52">
            <v>204.1954420884519</v>
          </cell>
          <cell r="R52">
            <v>203.25614305484498</v>
          </cell>
          <cell r="S52">
            <v>202.32116479679266</v>
          </cell>
          <cell r="T52">
            <v>201.3904874387274</v>
          </cell>
          <cell r="U52">
            <v>200.46409119650929</v>
          </cell>
          <cell r="V52">
            <v>199.54195637700533</v>
          </cell>
          <cell r="W52">
            <v>198.62406337767112</v>
          </cell>
          <cell r="X52">
            <v>197.71039268613379</v>
          </cell>
          <cell r="Y52">
            <v>196.8009248797776</v>
          </cell>
          <cell r="Z52">
            <v>195.8956406253306</v>
          </cell>
          <cell r="AA52">
            <v>194.99452067845405</v>
          </cell>
          <cell r="AB52">
            <v>194.09754588333314</v>
          </cell>
          <cell r="AC52">
            <v>193.20469717226982</v>
          </cell>
          <cell r="AD52">
            <v>192.31595556527733</v>
          </cell>
          <cell r="AE52">
            <v>191.43130216967708</v>
          </cell>
        </row>
        <row r="53">
          <cell r="G53" t="str">
            <v>RegionMedium RetStock 2016</v>
          </cell>
          <cell r="H53" t="str">
            <v>Com</v>
          </cell>
          <cell r="I53" t="str">
            <v>Medium Ret</v>
          </cell>
          <cell r="J53" t="str">
            <v>Stock 2016</v>
          </cell>
          <cell r="K53" t="str">
            <v>Millions SqFt</v>
          </cell>
          <cell r="L53">
            <v>97.115689913224898</v>
          </cell>
          <cell r="M53">
            <v>96.668957739624062</v>
          </cell>
          <cell r="N53">
            <v>96.224280534021787</v>
          </cell>
          <cell r="O53">
            <v>95.781648843565293</v>
          </cell>
          <cell r="P53">
            <v>95.34105325888487</v>
          </cell>
          <cell r="Q53">
            <v>94.902484413894001</v>
          </cell>
          <cell r="R53">
            <v>94.465932985590086</v>
          </cell>
          <cell r="S53">
            <v>94.031389693856369</v>
          </cell>
          <cell r="T53">
            <v>93.598845301264618</v>
          </cell>
          <cell r="U53">
            <v>93.168290612878806</v>
          </cell>
          <cell r="V53">
            <v>92.739716476059556</v>
          </cell>
          <cell r="W53">
            <v>92.313113780269674</v>
          </cell>
          <cell r="X53">
            <v>91.888473456880433</v>
          </cell>
          <cell r="Y53">
            <v>91.465786478978771</v>
          </cell>
          <cell r="Z53">
            <v>91.045043861175472</v>
          </cell>
          <cell r="AA53">
            <v>90.626236659414062</v>
          </cell>
          <cell r="AB53">
            <v>90.209355970780734</v>
          </cell>
          <cell r="AC53">
            <v>89.794392933315152</v>
          </cell>
          <cell r="AD53">
            <v>89.381338725821905</v>
          </cell>
          <cell r="AE53">
            <v>88.97018456768312</v>
          </cell>
        </row>
        <row r="54">
          <cell r="G54" t="str">
            <v>RegionSmall RetStock 2016</v>
          </cell>
          <cell r="H54" t="str">
            <v>Com</v>
          </cell>
          <cell r="I54" t="str">
            <v>Small Ret</v>
          </cell>
          <cell r="J54" t="str">
            <v>Stock 2016</v>
          </cell>
          <cell r="K54" t="str">
            <v>Millions SqFt</v>
          </cell>
          <cell r="L54">
            <v>109.47966092768364</v>
          </cell>
          <cell r="M54">
            <v>108.97605448741629</v>
          </cell>
          <cell r="N54">
            <v>108.47476463677417</v>
          </cell>
          <cell r="O54">
            <v>107.975780719445</v>
          </cell>
          <cell r="P54">
            <v>107.47909212813555</v>
          </cell>
          <cell r="Q54">
            <v>106.98468830434612</v>
          </cell>
          <cell r="R54">
            <v>106.49255873814613</v>
          </cell>
          <cell r="S54">
            <v>106.00269296795065</v>
          </cell>
          <cell r="T54">
            <v>105.51508058029808</v>
          </cell>
          <cell r="U54">
            <v>105.0297112096287</v>
          </cell>
          <cell r="V54">
            <v>104.54657453806439</v>
          </cell>
          <cell r="W54">
            <v>104.0656602951893</v>
          </cell>
          <cell r="X54">
            <v>103.58695825783141</v>
          </cell>
          <cell r="Y54">
            <v>103.11045824984539</v>
          </cell>
          <cell r="Z54">
            <v>102.6361501418961</v>
          </cell>
          <cell r="AA54">
            <v>102.16402385124337</v>
          </cell>
          <cell r="AB54">
            <v>101.69406934152764</v>
          </cell>
          <cell r="AC54">
            <v>101.2262766225566</v>
          </cell>
          <cell r="AD54">
            <v>100.76063575009285</v>
          </cell>
          <cell r="AE54">
            <v>100.29713682564241</v>
          </cell>
        </row>
        <row r="55">
          <cell r="G55" t="str">
            <v>RegionSchool K-12Stock 2016</v>
          </cell>
          <cell r="H55" t="str">
            <v>Com</v>
          </cell>
          <cell r="I55" t="str">
            <v>School K-12</v>
          </cell>
          <cell r="J55" t="str">
            <v>Stock 2016</v>
          </cell>
          <cell r="K55" t="str">
            <v>Millions SqFt</v>
          </cell>
          <cell r="L55">
            <v>241.11763975818661</v>
          </cell>
          <cell r="M55">
            <v>240.12905743517803</v>
          </cell>
          <cell r="N55">
            <v>239.14452829969383</v>
          </cell>
          <cell r="O55">
            <v>238.16403573366509</v>
          </cell>
          <cell r="P55">
            <v>237.18756318715711</v>
          </cell>
          <cell r="Q55">
            <v>236.21509417808971</v>
          </cell>
          <cell r="R55">
            <v>235.24661229195956</v>
          </cell>
          <cell r="S55">
            <v>234.28210118156252</v>
          </cell>
          <cell r="T55">
            <v>233.32154456671807</v>
          </cell>
          <cell r="U55">
            <v>232.36492623399457</v>
          </cell>
          <cell r="V55">
            <v>231.41223003643518</v>
          </cell>
          <cell r="W55">
            <v>230.46343989328579</v>
          </cell>
          <cell r="X55">
            <v>229.51853978972335</v>
          </cell>
          <cell r="Y55">
            <v>228.57751377658545</v>
          </cell>
          <cell r="Z55">
            <v>227.64034597010144</v>
          </cell>
          <cell r="AA55">
            <v>226.70702055162403</v>
          </cell>
          <cell r="AB55">
            <v>225.77752176736234</v>
          </cell>
          <cell r="AC55">
            <v>224.85183392811618</v>
          </cell>
          <cell r="AD55">
            <v>223.92994140901092</v>
          </cell>
          <cell r="AE55">
            <v>223.01182864923393</v>
          </cell>
        </row>
        <row r="56">
          <cell r="G56" t="str">
            <v>RegionUniversityStock 2016</v>
          </cell>
          <cell r="H56" t="str">
            <v>Com</v>
          </cell>
          <cell r="I56" t="str">
            <v>University</v>
          </cell>
          <cell r="J56" t="str">
            <v>Stock 2016</v>
          </cell>
          <cell r="K56" t="str">
            <v>Millions SqFt</v>
          </cell>
          <cell r="L56">
            <v>122.15340627232256</v>
          </cell>
          <cell r="M56">
            <v>121.65257730660603</v>
          </cell>
          <cell r="N56">
            <v>121.15380173964894</v>
          </cell>
          <cell r="O56">
            <v>120.65707115251638</v>
          </cell>
          <cell r="P56">
            <v>120.16237716079107</v>
          </cell>
          <cell r="Q56">
            <v>119.66971141443182</v>
          </cell>
          <cell r="R56">
            <v>119.17906559763266</v>
          </cell>
          <cell r="S56">
            <v>118.69043142868237</v>
          </cell>
          <cell r="T56">
            <v>118.20380065982476</v>
          </cell>
          <cell r="U56">
            <v>117.71916507711948</v>
          </cell>
          <cell r="V56">
            <v>117.23651650030328</v>
          </cell>
          <cell r="W56">
            <v>116.75584678265207</v>
          </cell>
          <cell r="X56">
            <v>116.27714781084319</v>
          </cell>
          <cell r="Y56">
            <v>115.80041150481873</v>
          </cell>
          <cell r="Z56">
            <v>115.32562981764897</v>
          </cell>
          <cell r="AA56">
            <v>114.8527947353966</v>
          </cell>
          <cell r="AB56">
            <v>114.38189827698147</v>
          </cell>
          <cell r="AC56">
            <v>113.91293249404585</v>
          </cell>
          <cell r="AD56">
            <v>113.44588947082025</v>
          </cell>
          <cell r="AE56">
            <v>112.98076132398991</v>
          </cell>
        </row>
        <row r="57">
          <cell r="G57" t="str">
            <v>RegionWarehouseStock 2016</v>
          </cell>
          <cell r="H57" t="str">
            <v>Com</v>
          </cell>
          <cell r="I57" t="str">
            <v>Warehouse</v>
          </cell>
          <cell r="J57" t="str">
            <v>Stock 2016</v>
          </cell>
          <cell r="K57" t="str">
            <v>Millions SqFt</v>
          </cell>
          <cell r="L57">
            <v>448.69829599576161</v>
          </cell>
          <cell r="M57">
            <v>447.03811230057732</v>
          </cell>
          <cell r="N57">
            <v>445.3840712850652</v>
          </cell>
          <cell r="O57">
            <v>443.73615022131042</v>
          </cell>
          <cell r="P57">
            <v>442.09432646549152</v>
          </cell>
          <cell r="Q57">
            <v>440.45857745756916</v>
          </cell>
          <cell r="R57">
            <v>438.82888072097626</v>
          </cell>
          <cell r="S57">
            <v>437.2052138623086</v>
          </cell>
          <cell r="T57">
            <v>435.58755457101802</v>
          </cell>
          <cell r="U57">
            <v>433.97588061910528</v>
          </cell>
          <cell r="V57">
            <v>432.37016986081449</v>
          </cell>
          <cell r="W57">
            <v>430.77040023232951</v>
          </cell>
          <cell r="X57">
            <v>429.17654975146979</v>
          </cell>
          <cell r="Y57">
            <v>427.58859651738936</v>
          </cell>
          <cell r="Z57">
            <v>426.00651871027503</v>
          </cell>
          <cell r="AA57">
            <v>424.43029459104702</v>
          </cell>
          <cell r="AB57">
            <v>422.85990250106011</v>
          </cell>
          <cell r="AC57">
            <v>421.2953208618062</v>
          </cell>
          <cell r="AD57">
            <v>419.73652817461749</v>
          </cell>
          <cell r="AE57">
            <v>418.18350302037135</v>
          </cell>
        </row>
        <row r="58">
          <cell r="G58" t="str">
            <v>RegionSupermarketStock 2016</v>
          </cell>
          <cell r="H58" t="str">
            <v>Com</v>
          </cell>
          <cell r="I58" t="str">
            <v>Supermarket</v>
          </cell>
          <cell r="J58" t="str">
            <v>Stock 2016</v>
          </cell>
          <cell r="K58" t="str">
            <v>Millions SqFt</v>
          </cell>
          <cell r="L58">
            <v>53.720939527021244</v>
          </cell>
          <cell r="M58">
            <v>53.237451071278059</v>
          </cell>
          <cell r="N58">
            <v>52.758314011636557</v>
          </cell>
          <cell r="O58">
            <v>52.283489185531828</v>
          </cell>
          <cell r="P58">
            <v>51.812937782862043</v>
          </cell>
          <cell r="Q58">
            <v>51.346621342816277</v>
          </cell>
          <cell r="R58">
            <v>50.884501750730934</v>
          </cell>
          <cell r="S58">
            <v>50.426541234974358</v>
          </cell>
          <cell r="T58">
            <v>49.97270236385959</v>
          </cell>
          <cell r="U58">
            <v>49.522948042584851</v>
          </cell>
          <cell r="V58">
            <v>49.077241510201581</v>
          </cell>
          <cell r="W58">
            <v>48.635546336609778</v>
          </cell>
          <cell r="X58">
            <v>48.197826419580288</v>
          </cell>
          <cell r="Y58">
            <v>47.76404598180406</v>
          </cell>
          <cell r="Z58">
            <v>47.33416956796782</v>
          </cell>
          <cell r="AA58">
            <v>46.908162041856116</v>
          </cell>
          <cell r="AB58">
            <v>46.485988583479411</v>
          </cell>
          <cell r="AC58">
            <v>46.067614686228097</v>
          </cell>
          <cell r="AD58">
            <v>45.653006154052044</v>
          </cell>
          <cell r="AE58">
            <v>45.242129098665572</v>
          </cell>
        </row>
        <row r="59">
          <cell r="G59" t="str">
            <v>RegionMiniMartStock 2016</v>
          </cell>
          <cell r="H59" t="str">
            <v>Com</v>
          </cell>
          <cell r="I59" t="str">
            <v>MiniMart</v>
          </cell>
          <cell r="J59" t="str">
            <v>Stock 2016</v>
          </cell>
          <cell r="K59" t="str">
            <v>Millions SqFt</v>
          </cell>
          <cell r="L59">
            <v>22.491017060912501</v>
          </cell>
          <cell r="M59">
            <v>22.384859460384995</v>
          </cell>
          <cell r="N59">
            <v>22.279202923731983</v>
          </cell>
          <cell r="O59">
            <v>22.174045085931969</v>
          </cell>
          <cell r="P59">
            <v>22.069383593126368</v>
          </cell>
          <cell r="Q59">
            <v>21.965216102566814</v>
          </cell>
          <cell r="R59">
            <v>21.8615402825627</v>
          </cell>
          <cell r="S59">
            <v>21.758353812429004</v>
          </cell>
          <cell r="T59">
            <v>21.655654382434342</v>
          </cell>
          <cell r="U59">
            <v>21.553439693749251</v>
          </cell>
          <cell r="V59">
            <v>21.451707458394754</v>
          </cell>
          <cell r="W59">
            <v>21.350455399191134</v>
          </cell>
          <cell r="X59">
            <v>21.249681249706953</v>
          </cell>
          <cell r="Y59">
            <v>21.149382754208336</v>
          </cell>
          <cell r="Z59">
            <v>21.049557667608472</v>
          </cell>
          <cell r="AA59">
            <v>20.950203755417366</v>
          </cell>
          <cell r="AB59">
            <v>20.851318793691796</v>
          </cell>
          <cell r="AC59">
            <v>20.75290056898557</v>
          </cell>
          <cell r="AD59">
            <v>20.654946878299963</v>
          </cell>
          <cell r="AE59">
            <v>20.557455529034385</v>
          </cell>
        </row>
        <row r="60">
          <cell r="G60" t="str">
            <v>RegionRestaurantStock 2016</v>
          </cell>
          <cell r="H60" t="str">
            <v>Com</v>
          </cell>
          <cell r="I60" t="str">
            <v>Restaurant</v>
          </cell>
          <cell r="J60" t="str">
            <v>Stock 2016</v>
          </cell>
          <cell r="K60" t="str">
            <v>Millions SqFt</v>
          </cell>
          <cell r="L60">
            <v>51.550857208753726</v>
          </cell>
          <cell r="M60">
            <v>51.307537162728408</v>
          </cell>
          <cell r="N60">
            <v>51.065365587320336</v>
          </cell>
          <cell r="O60">
            <v>50.824337061748189</v>
          </cell>
          <cell r="P60">
            <v>50.584446190816735</v>
          </cell>
          <cell r="Q60">
            <v>50.345687604796083</v>
          </cell>
          <cell r="R60">
            <v>50.108055959301453</v>
          </cell>
          <cell r="S60">
            <v>49.871545935173543</v>
          </cell>
          <cell r="T60">
            <v>49.636152238359529</v>
          </cell>
          <cell r="U60">
            <v>49.40186959979448</v>
          </cell>
          <cell r="V60">
            <v>49.168692775283453</v>
          </cell>
          <cell r="W60">
            <v>48.936616545384119</v>
          </cell>
          <cell r="X60">
            <v>48.705635715289908</v>
          </cell>
          <cell r="Y60">
            <v>48.475745114713739</v>
          </cell>
          <cell r="Z60">
            <v>48.246939597772297</v>
          </cell>
          <cell r="AA60">
            <v>48.019214042870807</v>
          </cell>
          <cell r="AB60">
            <v>47.792563352588466</v>
          </cell>
          <cell r="AC60">
            <v>47.56698245356425</v>
          </cell>
          <cell r="AD60">
            <v>47.342466296383435</v>
          </cell>
          <cell r="AE60">
            <v>47.119009855464505</v>
          </cell>
        </row>
        <row r="61">
          <cell r="G61" t="str">
            <v>RegionLodgingStock 2016</v>
          </cell>
          <cell r="H61" t="str">
            <v>Com</v>
          </cell>
          <cell r="I61" t="str">
            <v>Lodging</v>
          </cell>
          <cell r="J61" t="str">
            <v>Stock 2016</v>
          </cell>
          <cell r="K61" t="str">
            <v>Millions SqFt</v>
          </cell>
          <cell r="L61">
            <v>170.15189589049527</v>
          </cell>
          <cell r="M61">
            <v>169.74353134035809</v>
          </cell>
          <cell r="N61">
            <v>169.33614686514122</v>
          </cell>
          <cell r="O61">
            <v>168.92974011266489</v>
          </cell>
          <cell r="P61">
            <v>168.52430873639449</v>
          </cell>
          <cell r="Q61">
            <v>168.11985039542716</v>
          </cell>
          <cell r="R61">
            <v>167.71636275447813</v>
          </cell>
          <cell r="S61">
            <v>167.31384348386743</v>
          </cell>
          <cell r="T61">
            <v>166.91229025950614</v>
          </cell>
          <cell r="U61">
            <v>166.51170076288332</v>
          </cell>
          <cell r="V61">
            <v>166.11207268105238</v>
          </cell>
          <cell r="W61">
            <v>165.7134037066179</v>
          </cell>
          <cell r="X61">
            <v>165.31569153772202</v>
          </cell>
          <cell r="Y61">
            <v>164.91893387803151</v>
          </cell>
          <cell r="Z61">
            <v>164.52312843672422</v>
          </cell>
          <cell r="AA61">
            <v>164.12827292847609</v>
          </cell>
          <cell r="AB61">
            <v>163.73436507344778</v>
          </cell>
          <cell r="AC61">
            <v>163.3414025972715</v>
          </cell>
          <cell r="AD61">
            <v>162.94938323103807</v>
          </cell>
          <cell r="AE61">
            <v>162.55830471128357</v>
          </cell>
        </row>
        <row r="62">
          <cell r="G62" t="str">
            <v>RegionHospitalStock 2016</v>
          </cell>
          <cell r="H62" t="str">
            <v>Com</v>
          </cell>
          <cell r="I62" t="str">
            <v>Hospital</v>
          </cell>
          <cell r="J62" t="str">
            <v>Stock 2016</v>
          </cell>
          <cell r="K62" t="str">
            <v>Millions SqFt</v>
          </cell>
          <cell r="L62">
            <v>105.02947953487826</v>
          </cell>
          <cell r="M62">
            <v>104.80891762785501</v>
          </cell>
          <cell r="N62">
            <v>104.58881890083651</v>
          </cell>
          <cell r="O62">
            <v>104.36918238114475</v>
          </cell>
          <cell r="P62">
            <v>104.15000709814436</v>
          </cell>
          <cell r="Q62">
            <v>103.93129208323826</v>
          </cell>
          <cell r="R62">
            <v>103.71303636986346</v>
          </cell>
          <cell r="S62">
            <v>103.49523899348674</v>
          </cell>
          <cell r="T62">
            <v>103.27789899160042</v>
          </cell>
          <cell r="U62">
            <v>103.06101540371807</v>
          </cell>
          <cell r="V62">
            <v>102.84458727137024</v>
          </cell>
          <cell r="W62">
            <v>102.62861363810038</v>
          </cell>
          <cell r="X62">
            <v>102.41309354946036</v>
          </cell>
          <cell r="Y62">
            <v>102.19802605300649</v>
          </cell>
          <cell r="Z62">
            <v>101.98341019829519</v>
          </cell>
          <cell r="AA62">
            <v>101.76924503687877</v>
          </cell>
          <cell r="AB62">
            <v>101.55552962230132</v>
          </cell>
          <cell r="AC62">
            <v>101.3422630100945</v>
          </cell>
          <cell r="AD62">
            <v>101.1294442577733</v>
          </cell>
          <cell r="AE62">
            <v>100.91707242483197</v>
          </cell>
        </row>
        <row r="63">
          <cell r="G63" t="str">
            <v>RegionResidential CareStock 2016</v>
          </cell>
          <cell r="H63" t="str">
            <v>Com</v>
          </cell>
          <cell r="I63" t="str">
            <v>Residential Care</v>
          </cell>
          <cell r="J63" t="str">
            <v>Stock 2016</v>
          </cell>
          <cell r="K63" t="str">
            <v>Millions SqFt</v>
          </cell>
          <cell r="L63">
            <v>128.74820917277606</v>
          </cell>
          <cell r="M63">
            <v>128.43921347076139</v>
          </cell>
          <cell r="N63">
            <v>128.1309593584316</v>
          </cell>
          <cell r="O63">
            <v>127.82344505597135</v>
          </cell>
          <cell r="P63">
            <v>127.51666878783702</v>
          </cell>
          <cell r="Q63">
            <v>127.21062878274621</v>
          </cell>
          <cell r="R63">
            <v>126.90532327366765</v>
          </cell>
          <cell r="S63">
            <v>126.60075049781085</v>
          </cell>
          <cell r="T63">
            <v>126.29690869661611</v>
          </cell>
          <cell r="U63">
            <v>125.99379611574425</v>
          </cell>
          <cell r="V63">
            <v>125.69141100506647</v>
          </cell>
          <cell r="W63">
            <v>125.3897516186543</v>
          </cell>
          <cell r="X63">
            <v>125.08881621476955</v>
          </cell>
          <cell r="Y63">
            <v>124.78860305585408</v>
          </cell>
          <cell r="Z63">
            <v>124.48911040852005</v>
          </cell>
          <cell r="AA63">
            <v>124.1903365435396</v>
          </cell>
          <cell r="AB63">
            <v>123.8922797358351</v>
          </cell>
          <cell r="AC63">
            <v>123.59493826446912</v>
          </cell>
          <cell r="AD63">
            <v>123.29831041263438</v>
          </cell>
          <cell r="AE63">
            <v>123.00239446764408</v>
          </cell>
        </row>
        <row r="64">
          <cell r="G64" t="str">
            <v>RegionAssemblyStock 2016</v>
          </cell>
          <cell r="H64" t="str">
            <v>Com</v>
          </cell>
          <cell r="I64" t="str">
            <v>Assembly</v>
          </cell>
          <cell r="J64" t="str">
            <v>Stock 2016</v>
          </cell>
          <cell r="K64" t="str">
            <v>Millions SqFt</v>
          </cell>
          <cell r="L64">
            <v>375.90224900649127</v>
          </cell>
          <cell r="M64">
            <v>374.21570091594884</v>
          </cell>
          <cell r="N64">
            <v>372.53671980450594</v>
          </cell>
          <cell r="O64">
            <v>370.86527172164978</v>
          </cell>
          <cell r="P64">
            <v>369.20132286919198</v>
          </cell>
          <cell r="Q64">
            <v>367.54483960058553</v>
          </cell>
          <cell r="R64">
            <v>365.89578842024423</v>
          </cell>
          <cell r="S64">
            <v>364.25413598286536</v>
          </cell>
          <cell r="T64">
            <v>362.6198490927556</v>
          </cell>
          <cell r="U64">
            <v>360.99289470315949</v>
          </cell>
          <cell r="V64">
            <v>359.37323991559134</v>
          </cell>
          <cell r="W64">
            <v>357.76085197917007</v>
          </cell>
          <cell r="X64">
            <v>356.15569828995689</v>
          </cell>
          <cell r="Y64">
            <v>354.55774639029596</v>
          </cell>
          <cell r="Z64">
            <v>352.96696396815821</v>
          </cell>
          <cell r="AA64">
            <v>351.38331885648773</v>
          </cell>
          <cell r="AB64">
            <v>349.80677903255156</v>
          </cell>
          <cell r="AC64">
            <v>348.23731261729228</v>
          </cell>
          <cell r="AD64">
            <v>346.67488787468267</v>
          </cell>
          <cell r="AE64">
            <v>345.11947321108494</v>
          </cell>
        </row>
        <row r="65">
          <cell r="G65" t="str">
            <v>RegionOtherStock 2016</v>
          </cell>
          <cell r="H65" t="str">
            <v>Com</v>
          </cell>
          <cell r="I65" t="str">
            <v>Other</v>
          </cell>
          <cell r="J65" t="str">
            <v>Stock 2016</v>
          </cell>
          <cell r="K65" t="str">
            <v>Millions SqFt</v>
          </cell>
          <cell r="L65">
            <v>342.64988330108076</v>
          </cell>
          <cell r="M65">
            <v>339.56603435137106</v>
          </cell>
          <cell r="N65">
            <v>336.50994004220871</v>
          </cell>
          <cell r="O65">
            <v>333.48135058182885</v>
          </cell>
          <cell r="P65">
            <v>330.48001842659238</v>
          </cell>
          <cell r="Q65">
            <v>327.50569826075304</v>
          </cell>
          <cell r="R65">
            <v>324.55814697640625</v>
          </cell>
          <cell r="S65">
            <v>321.63712365361863</v>
          </cell>
          <cell r="T65">
            <v>318.7423895407361</v>
          </cell>
          <cell r="U65">
            <v>315.87370803486942</v>
          </cell>
          <cell r="V65">
            <v>313.03084466255564</v>
          </cell>
          <cell r="W65">
            <v>310.21356706059254</v>
          </cell>
          <cell r="X65">
            <v>307.42164495704725</v>
          </cell>
          <cell r="Y65">
            <v>304.65485015243382</v>
          </cell>
          <cell r="Z65">
            <v>301.9129565010619</v>
          </cell>
          <cell r="AA65">
            <v>299.19573989255235</v>
          </cell>
          <cell r="AB65">
            <v>296.50297823351934</v>
          </cell>
          <cell r="AC65">
            <v>293.83445142941764</v>
          </cell>
          <cell r="AD65">
            <v>291.18994136655289</v>
          </cell>
          <cell r="AE65">
            <v>288.5692318942539</v>
          </cell>
        </row>
        <row r="66">
          <cell r="G66" t="str">
            <v>RegionIdahoStock</v>
          </cell>
          <cell r="H66" t="str">
            <v>Ag</v>
          </cell>
          <cell r="I66" t="str">
            <v>Idaho</v>
          </cell>
          <cell r="J66" t="str">
            <v>Stock</v>
          </cell>
          <cell r="K66" t="str">
            <v>% Growth</v>
          </cell>
          <cell r="L66">
            <v>0</v>
          </cell>
          <cell r="M66">
            <v>1.2504100211369894E-4</v>
          </cell>
          <cell r="N66">
            <v>1.7375879514796466E-4</v>
          </cell>
          <cell r="O66">
            <v>6.1210927779177624E-4</v>
          </cell>
          <cell r="P66">
            <v>8.8127487458086599E-4</v>
          </cell>
          <cell r="Q66">
            <v>1.1201972174019578E-3</v>
          </cell>
          <cell r="R66">
            <v>1.2717867360821197E-3</v>
          </cell>
          <cell r="S66">
            <v>1.4404642508513471E-3</v>
          </cell>
          <cell r="T66">
            <v>1.5874396385228723E-3</v>
          </cell>
          <cell r="U66">
            <v>1.7204636459112381E-3</v>
          </cell>
          <cell r="V66">
            <v>1.8289050040785739E-3</v>
          </cell>
          <cell r="W66">
            <v>1.9377539743383628E-3</v>
          </cell>
          <cell r="X66">
            <v>2.0316119038316116E-3</v>
          </cell>
          <cell r="Y66">
            <v>2.128079506222659E-3</v>
          </cell>
          <cell r="Z66">
            <v>2.2126572758413075E-3</v>
          </cell>
          <cell r="AA66">
            <v>2.2578225416429688E-3</v>
          </cell>
          <cell r="AB66">
            <v>2.3464540176612314E-3</v>
          </cell>
          <cell r="AC66">
            <v>2.414467009038601E-3</v>
          </cell>
          <cell r="AD66">
            <v>2.4848313911262653E-3</v>
          </cell>
          <cell r="AE66">
            <v>2.5344116000376449E-3</v>
          </cell>
        </row>
        <row r="67">
          <cell r="G67" t="str">
            <v>RegionMontanaStock</v>
          </cell>
          <cell r="H67" t="str">
            <v>Ag</v>
          </cell>
          <cell r="I67" t="str">
            <v>Montana</v>
          </cell>
          <cell r="J67" t="str">
            <v>Stock</v>
          </cell>
          <cell r="K67" t="str">
            <v>% Growth</v>
          </cell>
          <cell r="L67">
            <v>0</v>
          </cell>
          <cell r="M67">
            <v>1.0848242299839954E-2</v>
          </cell>
          <cell r="N67">
            <v>1.059267655252486E-2</v>
          </cell>
          <cell r="O67">
            <v>1.0752312089181865E-2</v>
          </cell>
          <cell r="P67">
            <v>1.075849831916186E-2</v>
          </cell>
          <cell r="Q67">
            <v>7.6567396067742733E-3</v>
          </cell>
          <cell r="R67">
            <v>7.6532068711881581E-3</v>
          </cell>
          <cell r="S67">
            <v>7.9235679867256659E-3</v>
          </cell>
          <cell r="T67">
            <v>8.1459053842477987E-3</v>
          </cell>
          <cell r="U67">
            <v>8.331284422267278E-3</v>
          </cell>
          <cell r="V67">
            <v>8.47135846405455E-3</v>
          </cell>
          <cell r="W67">
            <v>8.5938864965773454E-3</v>
          </cell>
          <cell r="X67">
            <v>8.6866032784890905E-3</v>
          </cell>
          <cell r="Y67">
            <v>8.7680800681235963E-3</v>
          </cell>
          <cell r="Z67">
            <v>8.8271867856936984E-3</v>
          </cell>
          <cell r="AA67">
            <v>8.8355566433926322E-3</v>
          </cell>
          <cell r="AB67">
            <v>8.8812025924713319E-3</v>
          </cell>
          <cell r="AC67">
            <v>8.8979055290069331E-3</v>
          </cell>
          <cell r="AD67">
            <v>8.9118787925779024E-3</v>
          </cell>
          <cell r="AE67">
            <v>8.9015256915168112E-3</v>
          </cell>
        </row>
        <row r="68">
          <cell r="G68" t="str">
            <v>RegionOregonStock</v>
          </cell>
          <cell r="H68" t="str">
            <v>Ag</v>
          </cell>
          <cell r="I68" t="str">
            <v>Oregon</v>
          </cell>
          <cell r="J68" t="str">
            <v>Stock</v>
          </cell>
          <cell r="K68" t="str">
            <v>% Growth</v>
          </cell>
          <cell r="L68">
            <v>0</v>
          </cell>
          <cell r="M68">
            <v>1.0110842680911804E-2</v>
          </cell>
          <cell r="N68">
            <v>1.0059217505089263E-2</v>
          </cell>
          <cell r="O68">
            <v>1.1176866051223918E-2</v>
          </cell>
          <cell r="P68">
            <v>1.9803102619340613E-2</v>
          </cell>
          <cell r="Q68">
            <v>1.2078828157499845E-2</v>
          </cell>
          <cell r="R68">
            <v>1.2074917420983849E-2</v>
          </cell>
          <cell r="S68">
            <v>1.2823009061012478E-2</v>
          </cell>
          <cell r="T68">
            <v>1.2064646132519813E-2</v>
          </cell>
          <cell r="U68">
            <v>2.1359830411811859E-2</v>
          </cell>
          <cell r="V68">
            <v>1.1864279678250279E-2</v>
          </cell>
          <cell r="W68">
            <v>1.1811806122028052E-2</v>
          </cell>
          <cell r="X68">
            <v>1.1060463245174785E-2</v>
          </cell>
          <cell r="Y68">
            <v>1.1689201211084101E-2</v>
          </cell>
          <cell r="Z68">
            <v>1.9623204602959039E-2</v>
          </cell>
          <cell r="AA68">
            <v>1.2054155221857031E-2</v>
          </cell>
          <cell r="AB68">
            <v>1.2615728823653952E-2</v>
          </cell>
          <cell r="AC68">
            <v>1.2496481187089379E-2</v>
          </cell>
          <cell r="AD68">
            <v>1.1753415892541448E-2</v>
          </cell>
          <cell r="AE68">
            <v>2.0946064887122692E-2</v>
          </cell>
        </row>
        <row r="69">
          <cell r="G69" t="str">
            <v>RegionWashingtonStock</v>
          </cell>
          <cell r="H69" t="str">
            <v>Ag</v>
          </cell>
          <cell r="I69" t="str">
            <v>Washington</v>
          </cell>
          <cell r="J69" t="str">
            <v>Stock</v>
          </cell>
          <cell r="K69" t="str">
            <v>% Growth</v>
          </cell>
          <cell r="L69">
            <v>0</v>
          </cell>
          <cell r="M69">
            <v>1.0662122206220235E-2</v>
          </cell>
          <cell r="N69">
            <v>1.0931258902780325E-2</v>
          </cell>
          <cell r="O69">
            <v>1.1173761515183053E-2</v>
          </cell>
          <cell r="P69">
            <v>1.811439906784525E-2</v>
          </cell>
          <cell r="Q69">
            <v>1.2399989211989764E-2</v>
          </cell>
          <cell r="R69">
            <v>1.1939862954954953E-2</v>
          </cell>
          <cell r="S69">
            <v>1.2288284859874222E-2</v>
          </cell>
          <cell r="T69">
            <v>1.1842226253476947E-2</v>
          </cell>
          <cell r="U69">
            <v>1.9682157833762929E-2</v>
          </cell>
          <cell r="V69">
            <v>1.1592234987503456E-2</v>
          </cell>
          <cell r="W69">
            <v>1.1147844023716795E-2</v>
          </cell>
          <cell r="X69">
            <v>1.1425985017752077E-2</v>
          </cell>
          <cell r="Y69">
            <v>1.0985810035676221E-2</v>
          </cell>
          <cell r="Z69">
            <v>1.7930228386922677E-2</v>
          </cell>
          <cell r="AA69">
            <v>1.1736355426763144E-2</v>
          </cell>
          <cell r="AB69">
            <v>1.1982095590114178E-2</v>
          </cell>
          <cell r="AC69">
            <v>1.1862624139313738E-2</v>
          </cell>
          <cell r="AD69">
            <v>1.1418033334772959E-2</v>
          </cell>
          <cell r="AE69">
            <v>1.8838157687553127E-2</v>
          </cell>
        </row>
        <row r="70">
          <cell r="G70" t="str">
            <v>RegionIdahoDairyStock</v>
          </cell>
          <cell r="H70" t="str">
            <v>Dairy</v>
          </cell>
          <cell r="I70" t="str">
            <v>IdahoDairy</v>
          </cell>
          <cell r="J70" t="str">
            <v>Stock</v>
          </cell>
          <cell r="K70" t="str">
            <v>1000lbs</v>
          </cell>
          <cell r="L70">
            <v>13629.012110609969</v>
          </cell>
          <cell r="M70">
            <v>13842.907114251881</v>
          </cell>
          <cell r="N70">
            <v>14023.216425344392</v>
          </cell>
          <cell r="O70">
            <v>14266.319353967396</v>
          </cell>
          <cell r="P70">
            <v>14513.683501515552</v>
          </cell>
          <cell r="Q70">
            <v>14784.738793280194</v>
          </cell>
          <cell r="R70">
            <v>15048.82150982591</v>
          </cell>
          <cell r="S70">
            <v>15351.081667959821</v>
          </cell>
          <cell r="T70">
            <v>15676.70161423125</v>
          </cell>
          <cell r="U70">
            <v>16022.910400199034</v>
          </cell>
          <cell r="V70">
            <v>16435.334001552066</v>
          </cell>
          <cell r="W70">
            <v>16796.9270935268</v>
          </cell>
          <cell r="X70">
            <v>17186.008838626629</v>
          </cell>
          <cell r="Y70">
            <v>17509.663776252026</v>
          </cell>
          <cell r="Z70">
            <v>17849.045518001847</v>
          </cell>
          <cell r="AA70">
            <v>18205.116228437721</v>
          </cell>
          <cell r="AB70">
            <v>18533.843580326749</v>
          </cell>
          <cell r="AC70">
            <v>18839.457555909743</v>
          </cell>
          <cell r="AD70">
            <v>19186.22471079613</v>
          </cell>
          <cell r="AE70">
            <v>19422.392838095242</v>
          </cell>
        </row>
        <row r="71">
          <cell r="G71" t="str">
            <v>RegionMontanaDairyStock</v>
          </cell>
          <cell r="H71" t="str">
            <v>Dairy</v>
          </cell>
          <cell r="I71" t="str">
            <v>MontanaDairy</v>
          </cell>
          <cell r="J71" t="str">
            <v>Stock</v>
          </cell>
          <cell r="K71" t="str">
            <v>1000lbs</v>
          </cell>
          <cell r="L71">
            <v>90.74529582059904</v>
          </cell>
          <cell r="M71">
            <v>90.898327903457215</v>
          </cell>
          <cell r="N71">
            <v>90.899562515809663</v>
          </cell>
          <cell r="O71">
            <v>91.013237267303055</v>
          </cell>
          <cell r="P71">
            <v>90.967755259326395</v>
          </cell>
          <cell r="Q71">
            <v>90.924506050749457</v>
          </cell>
          <cell r="R71">
            <v>91.025748037140048</v>
          </cell>
          <cell r="S71">
            <v>91.099301040678228</v>
          </cell>
          <cell r="T71">
            <v>90.915023147811965</v>
          </cell>
          <cell r="U71">
            <v>90.903023153329187</v>
          </cell>
          <cell r="V71">
            <v>90.903850245090197</v>
          </cell>
          <cell r="W71">
            <v>90.425722269176404</v>
          </cell>
          <cell r="X71">
            <v>90.371471553755299</v>
          </cell>
          <cell r="Y71">
            <v>90.264014484201496</v>
          </cell>
          <cell r="Z71">
            <v>90.097051493259059</v>
          </cell>
          <cell r="AA71">
            <v>89.896800203896433</v>
          </cell>
          <cell r="AB71">
            <v>89.896456479218287</v>
          </cell>
          <cell r="AC71">
            <v>89.606519803497406</v>
          </cell>
          <cell r="AD71">
            <v>89.325294250105614</v>
          </cell>
          <cell r="AE71">
            <v>89.328380794090677</v>
          </cell>
        </row>
        <row r="72">
          <cell r="G72" t="str">
            <v>RegionOregonDairyStock</v>
          </cell>
          <cell r="H72" t="str">
            <v>Dairy</v>
          </cell>
          <cell r="I72" t="str">
            <v>OregonDairy</v>
          </cell>
          <cell r="J72" t="str">
            <v>Stock</v>
          </cell>
          <cell r="K72" t="str">
            <v>1000lbs</v>
          </cell>
          <cell r="L72">
            <v>2744.180551622544</v>
          </cell>
          <cell r="M72">
            <v>2781.3253166710429</v>
          </cell>
          <cell r="N72">
            <v>2817.8028576592669</v>
          </cell>
          <cell r="O72">
            <v>2852.4466796581391</v>
          </cell>
          <cell r="P72">
            <v>2887.2703785501863</v>
          </cell>
          <cell r="Q72">
            <v>2923.2055190854799</v>
          </cell>
          <cell r="R72">
            <v>2963.8717110873577</v>
          </cell>
          <cell r="S72">
            <v>3007.9285968792492</v>
          </cell>
          <cell r="T72">
            <v>3054.4586648127197</v>
          </cell>
          <cell r="U72">
            <v>3103.2723514737127</v>
          </cell>
          <cell r="V72">
            <v>3155.2926430989965</v>
          </cell>
          <cell r="W72">
            <v>3205.2179835947745</v>
          </cell>
          <cell r="X72">
            <v>3255.0785902298294</v>
          </cell>
          <cell r="Y72">
            <v>3304.2085620815005</v>
          </cell>
          <cell r="Z72">
            <v>3359.7128554945239</v>
          </cell>
          <cell r="AA72">
            <v>3405.0605171911329</v>
          </cell>
          <cell r="AB72">
            <v>3454.1652559274162</v>
          </cell>
          <cell r="AC72">
            <v>3509.2005551615157</v>
          </cell>
          <cell r="AD72">
            <v>3557.2266817524842</v>
          </cell>
          <cell r="AE72">
            <v>3610.3576666465606</v>
          </cell>
        </row>
        <row r="73">
          <cell r="G73" t="str">
            <v>RegionWashingtonDairyStock</v>
          </cell>
          <cell r="H73" t="str">
            <v>Dairy</v>
          </cell>
          <cell r="I73" t="str">
            <v>WashingtonDairy</v>
          </cell>
          <cell r="J73" t="str">
            <v>Stock</v>
          </cell>
          <cell r="K73" t="str">
            <v>1000lbs</v>
          </cell>
          <cell r="L73">
            <v>6417.4166624736044</v>
          </cell>
          <cell r="M73">
            <v>6527.6845985495966</v>
          </cell>
          <cell r="N73">
            <v>6648.0748527559354</v>
          </cell>
          <cell r="O73">
            <v>6750.5768396680051</v>
          </cell>
          <cell r="P73">
            <v>6858.9947023924851</v>
          </cell>
          <cell r="Q73">
            <v>6950.9448303929594</v>
          </cell>
          <cell r="R73">
            <v>7066.5055116132971</v>
          </cell>
          <cell r="S73">
            <v>7154.1963866384513</v>
          </cell>
          <cell r="T73">
            <v>7260.5595150379595</v>
          </cell>
          <cell r="U73">
            <v>7382.1828771063319</v>
          </cell>
          <cell r="V73">
            <v>7515.612457778011</v>
          </cell>
          <cell r="W73">
            <v>7658.3815592644387</v>
          </cell>
          <cell r="X73">
            <v>7790.6041619373518</v>
          </cell>
          <cell r="Y73">
            <v>7925.9535611829233</v>
          </cell>
          <cell r="Z73">
            <v>8056.1594585167277</v>
          </cell>
          <cell r="AA73">
            <v>8212.3413257643278</v>
          </cell>
          <cell r="AB73">
            <v>8359.6360208598271</v>
          </cell>
          <cell r="AC73">
            <v>8487.3604780857568</v>
          </cell>
          <cell r="AD73">
            <v>8647.4216609802097</v>
          </cell>
          <cell r="AE73">
            <v>8766.8632794861296</v>
          </cell>
        </row>
        <row r="74">
          <cell r="G74" t="str">
            <v>RegionMechanical PulpStock</v>
          </cell>
          <cell r="H74" t="str">
            <v>Ind</v>
          </cell>
          <cell r="I74" t="str">
            <v>Mechanical Pulp</v>
          </cell>
          <cell r="J74" t="str">
            <v>Stock</v>
          </cell>
          <cell r="K74" t="str">
            <v>Consumption (MWh)</v>
          </cell>
          <cell r="L74">
            <v>2942.3885247078688</v>
          </cell>
          <cell r="M74">
            <v>2999.4923169466106</v>
          </cell>
          <cell r="N74">
            <v>3057.7991990647956</v>
          </cell>
          <cell r="O74">
            <v>3117.3356540499285</v>
          </cell>
          <cell r="P74">
            <v>3178.128760373258</v>
          </cell>
          <cell r="Q74">
            <v>3240.2062055118258</v>
          </cell>
          <cell r="R74">
            <v>3303.5962997789316</v>
          </cell>
          <cell r="S74">
            <v>3368.3279904700712</v>
          </cell>
          <cell r="T74">
            <v>3434.4308763315557</v>
          </cell>
          <cell r="U74">
            <v>3501.9352223591818</v>
          </cell>
          <cell r="V74">
            <v>3570.8719749345073</v>
          </cell>
          <cell r="W74">
            <v>3641.272777306438</v>
          </cell>
          <cell r="X74">
            <v>3713.1699854260205</v>
          </cell>
          <cell r="Y74">
            <v>3786.5966841425206</v>
          </cell>
          <cell r="Z74">
            <v>3861.5867037690391</v>
          </cell>
          <cell r="AA74">
            <v>3938.1746370261103</v>
          </cell>
          <cell r="AB74">
            <v>4016.3958563719311</v>
          </cell>
          <cell r="AC74">
            <v>4096.2865317280484</v>
          </cell>
          <cell r="AD74">
            <v>4177.8836486095533</v>
          </cell>
          <cell r="AE74">
            <v>4261.2250266690271</v>
          </cell>
        </row>
        <row r="75">
          <cell r="G75" t="str">
            <v>RegionKraft PulpStock</v>
          </cell>
          <cell r="H75" t="str">
            <v>Ind</v>
          </cell>
          <cell r="I75" t="str">
            <v>Kraft Pulp</v>
          </cell>
          <cell r="J75" t="str">
            <v>Stock</v>
          </cell>
          <cell r="K75" t="str">
            <v>Consumption (MWh)</v>
          </cell>
          <cell r="L75">
            <v>1840.4686066002805</v>
          </cell>
          <cell r="M75">
            <v>1873.4989778495669</v>
          </cell>
          <cell r="N75">
            <v>1907.1920216976423</v>
          </cell>
          <cell r="O75">
            <v>1941.56194814743</v>
          </cell>
          <cell r="P75">
            <v>1976.623282632949</v>
          </cell>
          <cell r="Q75">
            <v>2012.3908731386696</v>
          </cell>
          <cell r="R75">
            <v>2048.879897480801</v>
          </cell>
          <cell r="S75">
            <v>2086.1058707542029</v>
          </cell>
          <cell r="T75">
            <v>2124.084652948703</v>
          </cell>
          <cell r="U75">
            <v>2162.8324567386876</v>
          </cell>
          <cell r="V75">
            <v>2202.3658554499198</v>
          </cell>
          <cell r="W75">
            <v>2242.7017912076312</v>
          </cell>
          <cell r="X75">
            <v>2283.8575832700294</v>
          </cell>
          <cell r="Y75">
            <v>2325.8509365514437</v>
          </cell>
          <cell r="Z75">
            <v>2368.6999503394532</v>
          </cell>
          <cell r="AA75">
            <v>2412.4231272104116</v>
          </cell>
          <cell r="AB75">
            <v>2457.0393821479101</v>
          </cell>
          <cell r="AC75">
            <v>2502.5680518688064</v>
          </cell>
          <cell r="AD75">
            <v>2549.0289043615553</v>
          </cell>
          <cell r="AE75">
            <v>2596.4421486417004</v>
          </cell>
        </row>
        <row r="76">
          <cell r="G76" t="str">
            <v>RegionPaperStock</v>
          </cell>
          <cell r="H76" t="str">
            <v>Ind</v>
          </cell>
          <cell r="I76" t="str">
            <v>Paper</v>
          </cell>
          <cell r="J76" t="str">
            <v>Stock</v>
          </cell>
          <cell r="K76" t="str">
            <v>Consumption (MWh)</v>
          </cell>
          <cell r="L76">
            <v>3534.455980801014</v>
          </cell>
          <cell r="M76">
            <v>3609.0607251246697</v>
          </cell>
          <cell r="N76">
            <v>3685.2873551199091</v>
          </cell>
          <cell r="O76">
            <v>3763.1719559855069</v>
          </cell>
          <cell r="P76">
            <v>3842.7514323040018</v>
          </cell>
          <cell r="Q76">
            <v>3924.0635270143184</v>
          </cell>
          <cell r="R76">
            <v>4007.1468408323385</v>
          </cell>
          <cell r="S76">
            <v>4092.0408521302074</v>
          </cell>
          <cell r="T76">
            <v>4178.7859372854182</v>
          </cell>
          <cell r="U76">
            <v>4267.4233915110017</v>
          </cell>
          <cell r="V76">
            <v>4357.9954501784177</v>
          </cell>
          <cell r="W76">
            <v>4450.5453106450295</v>
          </cell>
          <cell r="X76">
            <v>4545.1171545983407</v>
          </cell>
          <cell r="Y76">
            <v>4641.756170929466</v>
          </cell>
          <cell r="Z76">
            <v>4740.5085791486254</v>
          </cell>
          <cell r="AA76">
            <v>4841.4216533557483</v>
          </cell>
          <cell r="AB76">
            <v>4944.5437467796155</v>
          </cell>
          <cell r="AC76">
            <v>5049.9243168992871</v>
          </cell>
          <cell r="AD76">
            <v>5157.6139511619058</v>
          </cell>
          <cell r="AE76">
            <v>5267.6643933113082</v>
          </cell>
        </row>
        <row r="77">
          <cell r="G77" t="str">
            <v>RegionFoundriesStock</v>
          </cell>
          <cell r="H77" t="str">
            <v>Ind</v>
          </cell>
          <cell r="I77" t="str">
            <v>Foundries</v>
          </cell>
          <cell r="J77" t="str">
            <v>Stock</v>
          </cell>
          <cell r="K77" t="str">
            <v>Consumption (MWh)</v>
          </cell>
          <cell r="L77">
            <v>919.01449596775626</v>
          </cell>
          <cell r="M77">
            <v>903.79676737453269</v>
          </cell>
          <cell r="N77">
            <v>888.86373699824867</v>
          </cell>
          <cell r="O77">
            <v>874.20939857684175</v>
          </cell>
          <cell r="P77">
            <v>859.82788649165502</v>
          </cell>
          <cell r="Q77">
            <v>845.71347215339779</v>
          </cell>
          <cell r="R77">
            <v>831.86056049053298</v>
          </cell>
          <cell r="S77">
            <v>818.26368653683164</v>
          </cell>
          <cell r="T77">
            <v>804.91751211495261</v>
          </cell>
          <cell r="U77">
            <v>791.81682261301614</v>
          </cell>
          <cell r="V77">
            <v>778.9565238512514</v>
          </cell>
          <cell r="W77">
            <v>766.33163903590253</v>
          </cell>
          <cell r="X77">
            <v>753.93730579767646</v>
          </cell>
          <cell r="Y77">
            <v>741.76877331211233</v>
          </cell>
          <cell r="Z77">
            <v>729.82139949934617</v>
          </cell>
          <cell r="AA77">
            <v>718.09064830083094</v>
          </cell>
          <cell r="AB77">
            <v>706.57208703065726</v>
          </cell>
          <cell r="AC77">
            <v>695.26138379920462</v>
          </cell>
          <cell r="AD77">
            <v>684.1543050069281</v>
          </cell>
          <cell r="AE77">
            <v>673.24671290616118</v>
          </cell>
        </row>
        <row r="78">
          <cell r="G78" t="str">
            <v>RegionFrozen FoodStock</v>
          </cell>
          <cell r="H78" t="str">
            <v>Ind</v>
          </cell>
          <cell r="I78" t="str">
            <v>Frozen Food</v>
          </cell>
          <cell r="J78" t="str">
            <v>Stock</v>
          </cell>
          <cell r="K78" t="str">
            <v>Consumption (MWh)</v>
          </cell>
          <cell r="L78">
            <v>1324.3206687825375</v>
          </cell>
          <cell r="M78">
            <v>1321.0591107197035</v>
          </cell>
          <cell r="N78">
            <v>1313.8715588171435</v>
          </cell>
          <cell r="O78">
            <v>1305.8660085520557</v>
          </cell>
          <cell r="P78">
            <v>1299.4527253901501</v>
          </cell>
          <cell r="Q78">
            <v>1293.8704220283462</v>
          </cell>
          <cell r="R78">
            <v>1288.7384147958671</v>
          </cell>
          <cell r="S78">
            <v>1283.1685849059777</v>
          </cell>
          <cell r="T78">
            <v>1278.1757704107879</v>
          </cell>
          <cell r="U78">
            <v>1273.2524730997047</v>
          </cell>
          <cell r="V78">
            <v>1268.7158191200151</v>
          </cell>
          <cell r="W78">
            <v>1264.8195202790864</v>
          </cell>
          <cell r="X78">
            <v>1261.3098548763107</v>
          </cell>
          <cell r="Y78">
            <v>1258.0599816596655</v>
          </cell>
          <cell r="Z78">
            <v>1255.450528359032</v>
          </cell>
          <cell r="AA78">
            <v>1251.7054749812521</v>
          </cell>
          <cell r="AB78">
            <v>1248.7912706454952</v>
          </cell>
          <cell r="AC78">
            <v>1246.3274234998678</v>
          </cell>
          <cell r="AD78">
            <v>1244.6946377737877</v>
          </cell>
          <cell r="AE78">
            <v>1243.7661870458371</v>
          </cell>
        </row>
        <row r="79">
          <cell r="G79" t="str">
            <v>RegionOther FoodStock</v>
          </cell>
          <cell r="H79" t="str">
            <v>Ind</v>
          </cell>
          <cell r="I79" t="str">
            <v>Other Food</v>
          </cell>
          <cell r="J79" t="str">
            <v>Stock</v>
          </cell>
          <cell r="K79" t="str">
            <v>Consumption (MWh)</v>
          </cell>
          <cell r="L79">
            <v>2411.1660539662394</v>
          </cell>
          <cell r="M79">
            <v>2450.4569412140777</v>
          </cell>
          <cell r="N79">
            <v>2488.4114649554663</v>
          </cell>
          <cell r="O79">
            <v>2523.6061920415254</v>
          </cell>
          <cell r="P79">
            <v>2562.1092719578933</v>
          </cell>
          <cell r="Q79">
            <v>2598.2919846277987</v>
          </cell>
          <cell r="R79">
            <v>2636.7412574019095</v>
          </cell>
          <cell r="S79">
            <v>2673.3916888556396</v>
          </cell>
          <cell r="T79">
            <v>2711.8297470558905</v>
          </cell>
          <cell r="U79">
            <v>2750.6750641158515</v>
          </cell>
          <cell r="V79">
            <v>2789.0285312434262</v>
          </cell>
          <cell r="W79">
            <v>2830.1577794767813</v>
          </cell>
          <cell r="X79">
            <v>2872.403704551703</v>
          </cell>
          <cell r="Y79">
            <v>2915.8704051275868</v>
          </cell>
          <cell r="Z79">
            <v>2960.101751006488</v>
          </cell>
          <cell r="AA79">
            <v>3003.4003881033614</v>
          </cell>
          <cell r="AB79">
            <v>3048.4360733455792</v>
          </cell>
          <cell r="AC79">
            <v>3093.8332116101201</v>
          </cell>
          <cell r="AD79">
            <v>3140.8207364366767</v>
          </cell>
          <cell r="AE79">
            <v>3189.4665409465333</v>
          </cell>
        </row>
        <row r="80">
          <cell r="G80" t="str">
            <v>RegionWood - LumberStock</v>
          </cell>
          <cell r="H80" t="str">
            <v>Ind</v>
          </cell>
          <cell r="I80" t="str">
            <v>Wood - Lumber</v>
          </cell>
          <cell r="J80" t="str">
            <v>Stock</v>
          </cell>
          <cell r="K80" t="str">
            <v>Consumption (MWh)</v>
          </cell>
          <cell r="L80">
            <v>896.96729322463875</v>
          </cell>
          <cell r="M80">
            <v>879.48359510176044</v>
          </cell>
          <cell r="N80">
            <v>862.36674638001614</v>
          </cell>
          <cell r="O80">
            <v>845.60857947833108</v>
          </cell>
          <cell r="P80">
            <v>829.20111686492294</v>
          </cell>
          <cell r="Q80">
            <v>813.13656649502366</v>
          </cell>
          <cell r="R80">
            <v>797.40731736048997</v>
          </cell>
          <cell r="S80">
            <v>782.00593514851505</v>
          </cell>
          <cell r="T80">
            <v>766.92515800673186</v>
          </cell>
          <cell r="U80">
            <v>752.15789241205903</v>
          </cell>
          <cell r="V80">
            <v>737.69720914071036</v>
          </cell>
          <cell r="W80">
            <v>723.53633933685592</v>
          </cell>
          <cell r="X80">
            <v>709.66867067748035</v>
          </cell>
          <cell r="Y80">
            <v>696.08774363104999</v>
          </cell>
          <cell r="Z80">
            <v>682.78724780765822</v>
          </cell>
          <cell r="AA80">
            <v>669.76101839837941</v>
          </cell>
          <cell r="AB80">
            <v>657.00303270161351</v>
          </cell>
          <cell r="AC80">
            <v>644.50740673426651</v>
          </cell>
          <cell r="AD80">
            <v>632.26839192565876</v>
          </cell>
          <cell r="AE80">
            <v>620.28037189211091</v>
          </cell>
        </row>
        <row r="81">
          <cell r="G81" t="str">
            <v>RegionWood - PanelStock</v>
          </cell>
          <cell r="H81" t="str">
            <v>Ind</v>
          </cell>
          <cell r="I81" t="str">
            <v>Wood - Panel</v>
          </cell>
          <cell r="J81" t="str">
            <v>Stock</v>
          </cell>
          <cell r="K81" t="str">
            <v>Consumption (MWh)</v>
          </cell>
          <cell r="L81">
            <v>1188.7654437610786</v>
          </cell>
          <cell r="M81">
            <v>1156.8804266382649</v>
          </cell>
          <cell r="N81">
            <v>1125.9526502419524</v>
          </cell>
          <cell r="O81">
            <v>1095.9488048785481</v>
          </cell>
          <cell r="P81">
            <v>1066.8369252348673</v>
          </cell>
          <cell r="Q81">
            <v>1038.5863295578097</v>
          </cell>
          <cell r="R81">
            <v>1011.1675617888843</v>
          </cell>
          <cell r="S81">
            <v>984.5523365043</v>
          </cell>
          <cell r="T81">
            <v>958.71348651903031</v>
          </cell>
          <cell r="U81">
            <v>933.62491302056549</v>
          </cell>
          <cell r="V81">
            <v>909.26153810496839</v>
          </cell>
          <cell r="W81">
            <v>885.59925959441807</v>
          </cell>
          <cell r="X81">
            <v>862.61490802163064</v>
          </cell>
          <cell r="Y81">
            <v>840.28620567243854</v>
          </cell>
          <cell r="Z81">
            <v>818.59172758340208</v>
          </cell>
          <cell r="AA81">
            <v>797.51086439660924</v>
          </cell>
          <cell r="AB81">
            <v>777.02378697884865</v>
          </cell>
          <cell r="AC81">
            <v>757.11141271709414</v>
          </cell>
          <cell r="AD81">
            <v>737.75537340675055</v>
          </cell>
          <cell r="AE81">
            <v>718.93798465338989</v>
          </cell>
        </row>
        <row r="82">
          <cell r="G82" t="str">
            <v>RegionWood - OtherStock</v>
          </cell>
          <cell r="H82" t="str">
            <v>Ind</v>
          </cell>
          <cell r="I82" t="str">
            <v>Wood - Other</v>
          </cell>
          <cell r="J82" t="str">
            <v>Stock</v>
          </cell>
          <cell r="K82" t="str">
            <v>Consumption (MWh)</v>
          </cell>
          <cell r="L82">
            <v>2190.3888717655045</v>
          </cell>
          <cell r="M82">
            <v>2148.1306604895863</v>
          </cell>
          <cell r="N82">
            <v>2106.7934261991795</v>
          </cell>
          <cell r="O82">
            <v>2066.3546549915977</v>
          </cell>
          <cell r="P82">
            <v>2026.7924531183542</v>
          </cell>
          <cell r="Q82">
            <v>1988.085527475364</v>
          </cell>
          <cell r="R82">
            <v>1950.2131667970759</v>
          </cell>
          <cell r="S82">
            <v>1913.1552235259451</v>
          </cell>
          <cell r="T82">
            <v>1876.8920963299061</v>
          </cell>
          <cell r="U82">
            <v>1841.4047132417386</v>
          </cell>
          <cell r="V82">
            <v>1806.6745153953393</v>
          </cell>
          <cell r="W82">
            <v>1772.6834413350252</v>
          </cell>
          <cell r="X82">
            <v>1739.4139118750359</v>
          </cell>
          <cell r="Y82">
            <v>1706.8488154873935</v>
          </cell>
          <cell r="Z82">
            <v>1674.9714941972354</v>
          </cell>
          <cell r="AA82">
            <v>1643.765729965641</v>
          </cell>
          <cell r="AB82">
            <v>1613.2157315408288</v>
          </cell>
          <cell r="AC82">
            <v>1583.3061217594463</v>
          </cell>
          <cell r="AD82">
            <v>1554.021925280435</v>
          </cell>
          <cell r="AE82">
            <v>1525.3485567347291</v>
          </cell>
        </row>
        <row r="83">
          <cell r="G83" t="str">
            <v>RegionSugarStock</v>
          </cell>
          <cell r="H83" t="str">
            <v>Ind</v>
          </cell>
          <cell r="I83" t="str">
            <v>Sugar</v>
          </cell>
          <cell r="J83" t="str">
            <v>Stock</v>
          </cell>
          <cell r="K83" t="str">
            <v>Consumption (MWh)</v>
          </cell>
          <cell r="L83">
            <v>418.21008276222733</v>
          </cell>
          <cell r="M83">
            <v>425.03709595246266</v>
          </cell>
          <cell r="N83">
            <v>432.03488996454973</v>
          </cell>
          <cell r="O83">
            <v>439.20849737015453</v>
          </cell>
          <cell r="P83">
            <v>446.56310939056141</v>
          </cell>
          <cell r="Q83">
            <v>454.10408109706395</v>
          </cell>
          <cell r="R83">
            <v>461.83693678637411</v>
          </cell>
          <cell r="S83">
            <v>469.76737553704612</v>
          </cell>
          <cell r="T83">
            <v>477.90127695312259</v>
          </cell>
          <cell r="U83">
            <v>486.24470710142145</v>
          </cell>
          <cell r="V83">
            <v>494.80392464911006</v>
          </cell>
          <cell r="W83">
            <v>503.58538720843927</v>
          </cell>
          <cell r="X83">
            <v>512.59575789575115</v>
          </cell>
          <cell r="Y83">
            <v>521.8419121121218</v>
          </cell>
          <cell r="Z83">
            <v>531.33094455325283</v>
          </cell>
          <cell r="AA83">
            <v>541.07017645649535</v>
          </cell>
          <cell r="AB83">
            <v>551.06716309315811</v>
          </cell>
          <cell r="AC83">
            <v>561.32970151454037</v>
          </cell>
          <cell r="AD83">
            <v>571.86583856041943</v>
          </cell>
          <cell r="AE83">
            <v>582.68387913902927</v>
          </cell>
        </row>
        <row r="84">
          <cell r="G84" t="str">
            <v>RegionHi Tech - Chip FabStock</v>
          </cell>
          <cell r="H84" t="str">
            <v>Ind</v>
          </cell>
          <cell r="I84" t="str">
            <v>Hi Tech - Chip Fab</v>
          </cell>
          <cell r="J84" t="str">
            <v>Stock</v>
          </cell>
          <cell r="K84" t="str">
            <v>Consumption (MWh)</v>
          </cell>
          <cell r="L84">
            <v>1006.0460601146721</v>
          </cell>
          <cell r="M84">
            <v>1000.3329509481151</v>
          </cell>
          <cell r="N84">
            <v>994.89158283732945</v>
          </cell>
          <cell r="O84">
            <v>989.7482068086025</v>
          </cell>
          <cell r="P84">
            <v>984.93353757072975</v>
          </cell>
          <cell r="Q84">
            <v>980.48348619000922</v>
          </cell>
          <cell r="R84">
            <v>976.44001337591533</v>
          </cell>
          <cell r="S84">
            <v>972.8521232290575</v>
          </cell>
          <cell r="T84">
            <v>969.77702057049214</v>
          </cell>
          <cell r="U84">
            <v>967.28145877672466</v>
          </cell>
          <cell r="V84">
            <v>965.44330947633159</v>
          </cell>
          <cell r="W84">
            <v>964.35339062514197</v>
          </cell>
          <cell r="X84">
            <v>964.11759548739883</v>
          </cell>
          <cell r="Y84">
            <v>964.85937205009338</v>
          </cell>
          <cell r="Z84">
            <v>966.72261054955777</v>
          </cell>
          <cell r="AA84">
            <v>969.87500628305759</v>
          </cell>
          <cell r="AB84">
            <v>974.5119759343653</v>
          </cell>
          <cell r="AC84">
            <v>980.86121851835412</v>
          </cell>
          <cell r="AD84">
            <v>989.1880270450107</v>
          </cell>
          <cell r="AE84">
            <v>999.80147446679428</v>
          </cell>
        </row>
        <row r="85">
          <cell r="G85" t="str">
            <v>RegionHi Tech - SiliconStock</v>
          </cell>
          <cell r="H85" t="str">
            <v>Ind</v>
          </cell>
          <cell r="I85" t="str">
            <v>Hi Tech - Silicon</v>
          </cell>
          <cell r="J85" t="str">
            <v>Stock</v>
          </cell>
          <cell r="K85" t="str">
            <v>Consumption (MWh)</v>
          </cell>
          <cell r="L85">
            <v>284.34499034738553</v>
          </cell>
          <cell r="M85">
            <v>287.29976313860476</v>
          </cell>
          <cell r="N85">
            <v>290.29160813525334</v>
          </cell>
          <cell r="O85">
            <v>293.32107827772393</v>
          </cell>
          <cell r="P85">
            <v>296.38873581768416</v>
          </cell>
          <cell r="Q85">
            <v>299.4951524900074</v>
          </cell>
          <cell r="R85">
            <v>302.6409096802866</v>
          </cell>
          <cell r="S85">
            <v>305.82659860171441</v>
          </cell>
          <cell r="T85">
            <v>309.05282047256748</v>
          </cell>
          <cell r="U85">
            <v>312.32018669687864</v>
          </cell>
          <cell r="V85">
            <v>315.62931904723939</v>
          </cell>
          <cell r="W85">
            <v>318.98084985679924</v>
          </cell>
          <cell r="X85">
            <v>322.37542220680399</v>
          </cell>
          <cell r="Y85">
            <v>325.81369012346352</v>
          </cell>
          <cell r="Z85">
            <v>329.29631877679583</v>
          </cell>
          <cell r="AA85">
            <v>332.82398468207651</v>
          </cell>
          <cell r="AB85">
            <v>336.39737590718551</v>
          </cell>
          <cell r="AC85">
            <v>340.01719228172311</v>
          </cell>
          <cell r="AD85">
            <v>343.68414561160887</v>
          </cell>
          <cell r="AE85">
            <v>347.39895989699852</v>
          </cell>
        </row>
        <row r="86">
          <cell r="G86" t="str">
            <v>RegionMetal FabStock</v>
          </cell>
          <cell r="H86" t="str">
            <v>Ind</v>
          </cell>
          <cell r="I86" t="str">
            <v>Metal Fab</v>
          </cell>
          <cell r="J86" t="str">
            <v>Stock</v>
          </cell>
          <cell r="K86" t="str">
            <v>Consumption (MWh)</v>
          </cell>
          <cell r="L86">
            <v>1217.7065320192728</v>
          </cell>
          <cell r="M86">
            <v>1179.4160318853844</v>
          </cell>
          <cell r="N86">
            <v>1142.3770893386957</v>
          </cell>
          <cell r="O86">
            <v>1106.5472689403477</v>
          </cell>
          <cell r="P86">
            <v>1071.8856224795945</v>
          </cell>
          <cell r="Q86">
            <v>1038.35263533641</v>
          </cell>
          <cell r="R86">
            <v>1005.9101748255557</v>
          </cell>
          <cell r="S86">
            <v>974.52144044746103</v>
          </cell>
          <cell r="T86">
            <v>944.15091597410878</v>
          </cell>
          <cell r="U86">
            <v>914.76432330088289</v>
          </cell>
          <cell r="V86">
            <v>886.32857799796386</v>
          </cell>
          <cell r="W86">
            <v>858.81174649740069</v>
          </cell>
          <cell r="X86">
            <v>832.18300485443342</v>
          </cell>
          <cell r="Y86">
            <v>806.4125990239736</v>
          </cell>
          <cell r="Z86">
            <v>781.47180659541982</v>
          </cell>
          <cell r="AA86">
            <v>757.33289993114045</v>
          </cell>
          <cell r="AB86">
            <v>733.96911065604934</v>
          </cell>
          <cell r="AC86">
            <v>711.35459544769526</v>
          </cell>
          <cell r="AD86">
            <v>689.46440307822058</v>
          </cell>
          <cell r="AE86">
            <v>668.27444266138707</v>
          </cell>
        </row>
        <row r="87">
          <cell r="G87" t="str">
            <v>RegionTransportation, EquipStock</v>
          </cell>
          <cell r="H87" t="str">
            <v>Ind</v>
          </cell>
          <cell r="I87" t="str">
            <v>Transportation, Equip</v>
          </cell>
          <cell r="J87" t="str">
            <v>Stock</v>
          </cell>
          <cell r="K87" t="str">
            <v>Consumption (MWh)</v>
          </cell>
          <cell r="L87">
            <v>1076.6667628215623</v>
          </cell>
          <cell r="M87">
            <v>1098.0350726149293</v>
          </cell>
          <cell r="N87">
            <v>1121.3672719254876</v>
          </cell>
          <cell r="O87">
            <v>1146.153563831145</v>
          </cell>
          <cell r="P87">
            <v>1172.150501733289</v>
          </cell>
          <cell r="Q87">
            <v>1199.2483594108337</v>
          </cell>
          <cell r="R87">
            <v>1227.404767400378</v>
          </cell>
          <cell r="S87">
            <v>1256.6115123270588</v>
          </cell>
          <cell r="T87">
            <v>1286.8779328266905</v>
          </cell>
          <cell r="U87">
            <v>1318.2226215417572</v>
          </cell>
          <cell r="V87">
            <v>1350.6692842652571</v>
          </cell>
          <cell r="W87">
            <v>1384.244679939135</v>
          </cell>
          <cell r="X87">
            <v>1418.977602449992</v>
          </cell>
          <cell r="Y87">
            <v>1454.8983842430932</v>
          </cell>
          <cell r="Z87">
            <v>1492.0386615455068</v>
          </cell>
          <cell r="AA87">
            <v>1530.431270989727</v>
          </cell>
          <cell r="AB87">
            <v>1570.1102124874969</v>
          </cell>
          <cell r="AC87">
            <v>1611.1106457620235</v>
          </cell>
          <cell r="AD87">
            <v>1653.4689042409216</v>
          </cell>
          <cell r="AE87">
            <v>1697.2225181669867</v>
          </cell>
        </row>
        <row r="88">
          <cell r="G88" t="str">
            <v>RegionRefineryStock</v>
          </cell>
          <cell r="H88" t="str">
            <v>Ind</v>
          </cell>
          <cell r="I88" t="str">
            <v>Refinery</v>
          </cell>
          <cell r="J88" t="str">
            <v>Stock</v>
          </cell>
          <cell r="K88" t="str">
            <v>Consumption (MWh)</v>
          </cell>
          <cell r="L88">
            <v>765.22818377294288</v>
          </cell>
          <cell r="M88">
            <v>781.3947611399982</v>
          </cell>
          <cell r="N88">
            <v>797.92353135944916</v>
          </cell>
          <cell r="O88">
            <v>814.8228635626707</v>
          </cell>
          <cell r="P88">
            <v>832.10132328695011</v>
          </cell>
          <cell r="Q88">
            <v>849.76767712050173</v>
          </cell>
          <cell r="R88">
            <v>867.83089745777204</v>
          </cell>
          <cell r="S88">
            <v>886.30016736765776</v>
          </cell>
          <cell r="T88">
            <v>905.18488557732178</v>
          </cell>
          <cell r="U88">
            <v>924.49467157436095</v>
          </cell>
          <cell r="V88">
            <v>944.23937083013925</v>
          </cell>
          <cell r="W88">
            <v>964.4290601471705</v>
          </cell>
          <cell r="X88">
            <v>985.07405313350262</v>
          </cell>
          <cell r="Y88">
            <v>1006.1849058071258</v>
          </cell>
          <cell r="Z88">
            <v>1027.7724223334981</v>
          </cell>
          <cell r="AA88">
            <v>1049.8476608993565</v>
          </cell>
          <cell r="AB88">
            <v>1072.421939726059</v>
          </cell>
          <cell r="AC88">
            <v>1095.5068432257744</v>
          </cell>
          <cell r="AD88">
            <v>1119.1142283039237</v>
          </cell>
          <cell r="AE88">
            <v>1143.2562308113509</v>
          </cell>
        </row>
        <row r="89">
          <cell r="G89" t="str">
            <v>RegionCold StorageStock</v>
          </cell>
          <cell r="H89" t="str">
            <v>Ind</v>
          </cell>
          <cell r="I89" t="str">
            <v>Cold Storage</v>
          </cell>
          <cell r="J89" t="str">
            <v>Stock</v>
          </cell>
          <cell r="K89" t="str">
            <v>Consumption (MWh)</v>
          </cell>
          <cell r="L89">
            <v>760.26684943858231</v>
          </cell>
          <cell r="M89">
            <v>776.05620214175406</v>
          </cell>
          <cell r="N89">
            <v>792.19621159046847</v>
          </cell>
          <cell r="O89">
            <v>808.69515588075546</v>
          </cell>
          <cell r="P89">
            <v>825.56151893558535</v>
          </cell>
          <cell r="Q89">
            <v>842.80399583575695</v>
          </cell>
          <cell r="R89">
            <v>860.43149829306708</v>
          </cell>
          <cell r="S89">
            <v>878.45316026963599</v>
          </cell>
          <cell r="T89">
            <v>896.87834374738043</v>
          </cell>
          <cell r="U89">
            <v>915.71664465172375</v>
          </cell>
          <cell r="V89">
            <v>934.97789893375375</v>
          </cell>
          <cell r="W89">
            <v>954.6721888151551</v>
          </cell>
          <cell r="X89">
            <v>974.80984920035939</v>
          </cell>
          <cell r="Y89">
            <v>995.40147426047997</v>
          </cell>
          <cell r="Z89">
            <v>1016.4579241937281</v>
          </cell>
          <cell r="AA89">
            <v>1037.9903321671334</v>
          </cell>
          <cell r="AB89">
            <v>1060.0101114445256</v>
          </cell>
          <cell r="AC89">
            <v>1082.5289627058755</v>
          </cell>
          <cell r="AD89">
            <v>1105.5588815632291</v>
          </cell>
          <cell r="AE89">
            <v>1129.1121662786165</v>
          </cell>
        </row>
        <row r="90">
          <cell r="G90" t="str">
            <v>RegionFruit StorageStock</v>
          </cell>
          <cell r="H90" t="str">
            <v>Ind</v>
          </cell>
          <cell r="I90" t="str">
            <v>Fruit Storage</v>
          </cell>
          <cell r="J90" t="str">
            <v>Stock</v>
          </cell>
          <cell r="K90" t="str">
            <v>Consumption (MWh)</v>
          </cell>
          <cell r="L90">
            <v>1661.0268711577528</v>
          </cell>
          <cell r="M90">
            <v>1721.9365513000373</v>
          </cell>
          <cell r="N90">
            <v>1785.3002617974537</v>
          </cell>
          <cell r="O90">
            <v>1851.2328648546179</v>
          </cell>
          <cell r="P90">
            <v>1919.8556581123303</v>
          </cell>
          <cell r="Q90">
            <v>1991.2967956982475</v>
          </cell>
          <cell r="R90">
            <v>2065.6917397134598</v>
          </cell>
          <cell r="S90">
            <v>2143.1837444731686</v>
          </cell>
          <cell r="T90">
            <v>2223.9243760005988</v>
          </cell>
          <cell r="U90">
            <v>2308.0740694684932</v>
          </cell>
          <cell r="V90">
            <v>2395.8027274931774</v>
          </cell>
          <cell r="W90">
            <v>2487.290362413426</v>
          </cell>
          <cell r="X90">
            <v>2582.7277859315755</v>
          </cell>
          <cell r="Y90">
            <v>2682.3173497589064</v>
          </cell>
          <cell r="Z90">
            <v>2786.2737411928069</v>
          </cell>
          <cell r="AA90">
            <v>2894.8248378612784</v>
          </cell>
          <cell r="AB90">
            <v>3008.21262620276</v>
          </cell>
          <cell r="AC90">
            <v>3126.6941886079612</v>
          </cell>
          <cell r="AD90">
            <v>3250.5427645374466</v>
          </cell>
          <cell r="AE90">
            <v>3380.0488913464646</v>
          </cell>
        </row>
        <row r="91">
          <cell r="G91" t="str">
            <v>RegionChemicalStock</v>
          </cell>
          <cell r="H91" t="str">
            <v>Ind</v>
          </cell>
          <cell r="I91" t="str">
            <v>Chemical</v>
          </cell>
          <cell r="J91" t="str">
            <v>Stock</v>
          </cell>
          <cell r="K91" t="str">
            <v>Consumption (MWh)</v>
          </cell>
          <cell r="L91">
            <v>2313.5691860381849</v>
          </cell>
          <cell r="M91">
            <v>2381.2548571292859</v>
          </cell>
          <cell r="N91">
            <v>2450.6208230832663</v>
          </cell>
          <cell r="O91">
            <v>2522.9211058695414</v>
          </cell>
          <cell r="P91">
            <v>2599.2435735916865</v>
          </cell>
          <cell r="Q91">
            <v>2679.5483548584343</v>
          </cell>
          <cell r="R91">
            <v>2765.6163507857527</v>
          </cell>
          <cell r="S91">
            <v>2857.2605009938256</v>
          </cell>
          <cell r="T91">
            <v>2954.0111713352512</v>
          </cell>
          <cell r="U91">
            <v>3057.0422254285559</v>
          </cell>
          <cell r="V91">
            <v>3167.1269688611228</v>
          </cell>
          <cell r="W91">
            <v>3282.6543220971407</v>
          </cell>
          <cell r="X91">
            <v>3404.3222220260527</v>
          </cell>
          <cell r="Y91">
            <v>3535.0789014552142</v>
          </cell>
          <cell r="Z91">
            <v>3673.2667986299771</v>
          </cell>
          <cell r="AA91">
            <v>3819.8427148505148</v>
          </cell>
          <cell r="AB91">
            <v>3974.4694892549323</v>
          </cell>
          <cell r="AC91">
            <v>4137.3826123403705</v>
          </cell>
          <cell r="AD91">
            <v>4311.3171070297012</v>
          </cell>
          <cell r="AE91">
            <v>4496.5769164393305</v>
          </cell>
        </row>
        <row r="92">
          <cell r="G92" t="str">
            <v>RegionMisc ManfStock</v>
          </cell>
          <cell r="H92" t="str">
            <v>Ind</v>
          </cell>
          <cell r="I92" t="str">
            <v>Misc Manf</v>
          </cell>
          <cell r="J92" t="str">
            <v>Stock</v>
          </cell>
          <cell r="K92" t="str">
            <v>Consumption (MWh)</v>
          </cell>
          <cell r="L92">
            <v>4029.7558279101399</v>
          </cell>
          <cell r="M92">
            <v>4061.1910818360939</v>
          </cell>
          <cell r="N92">
            <v>4058.4654273795722</v>
          </cell>
          <cell r="O92">
            <v>4113.7583987330581</v>
          </cell>
          <cell r="P92">
            <v>4130.3622345522963</v>
          </cell>
          <cell r="Q92">
            <v>4198.8642466957572</v>
          </cell>
          <cell r="R92">
            <v>4288.306491397725</v>
          </cell>
          <cell r="S92">
            <v>4367.7996888494363</v>
          </cell>
          <cell r="T92">
            <v>4426.1853462245726</v>
          </cell>
          <cell r="U92">
            <v>4505.1090976811183</v>
          </cell>
          <cell r="V92">
            <v>4555.4729287637538</v>
          </cell>
          <cell r="W92">
            <v>4601.8853096609728</v>
          </cell>
          <cell r="X92">
            <v>4622.5247614175132</v>
          </cell>
          <cell r="Y92">
            <v>4646.0108756316795</v>
          </cell>
          <cell r="Z92">
            <v>4677.8520706630579</v>
          </cell>
          <cell r="AA92">
            <v>4700.3098199950737</v>
          </cell>
          <cell r="AB92">
            <v>4713.6660942004319</v>
          </cell>
          <cell r="AC92">
            <v>4708.4749062275614</v>
          </cell>
          <cell r="AD92">
            <v>4718.6237419429335</v>
          </cell>
          <cell r="AE92">
            <v>4717.7861333754263</v>
          </cell>
        </row>
        <row r="93">
          <cell r="G93" t="str">
            <v>RegionEVStock</v>
          </cell>
          <cell r="H93" t="str">
            <v>EV</v>
          </cell>
          <cell r="I93" t="str">
            <v>EV</v>
          </cell>
          <cell r="J93" t="str">
            <v>Stock</v>
          </cell>
          <cell r="K93" t="str">
            <v>1000 Cars</v>
          </cell>
          <cell r="L93">
            <v>60.183986956923889</v>
          </cell>
          <cell r="M93">
            <v>91.985039267783762</v>
          </cell>
          <cell r="N93">
            <v>131.71899349682545</v>
          </cell>
          <cell r="O93">
            <v>179.31931215654896</v>
          </cell>
          <cell r="P93">
            <v>234.46894197990883</v>
          </cell>
          <cell r="Q93">
            <v>296.9378027583823</v>
          </cell>
          <cell r="R93">
            <v>366.00059330503768</v>
          </cell>
          <cell r="S93">
            <v>441.25939468635204</v>
          </cell>
          <cell r="T93">
            <v>522.62506581198477</v>
          </cell>
          <cell r="U93">
            <v>610.52396116716261</v>
          </cell>
          <cell r="V93">
            <v>705.01906985870437</v>
          </cell>
          <cell r="W93">
            <v>801.72374571842784</v>
          </cell>
          <cell r="X93">
            <v>899.84995621451503</v>
          </cell>
          <cell r="Y93">
            <v>998.49290967026104</v>
          </cell>
          <cell r="Z93">
            <v>1096.4275699987345</v>
          </cell>
          <cell r="AA93">
            <v>1187.7661760902763</v>
          </cell>
          <cell r="AB93">
            <v>1272.9815546454543</v>
          </cell>
          <cell r="AC93">
            <v>1351.8588013409089</v>
          </cell>
          <cell r="AD93">
            <v>1433.0587465545455</v>
          </cell>
          <cell r="AE93">
            <v>1500.0488473772725</v>
          </cell>
        </row>
        <row r="94">
          <cell r="G94" t="str">
            <v>RegionPopStock</v>
          </cell>
          <cell r="H94" t="str">
            <v>Pop</v>
          </cell>
          <cell r="I94" t="str">
            <v>Pop</v>
          </cell>
          <cell r="J94" t="str">
            <v>Stock</v>
          </cell>
          <cell r="K94" t="str">
            <v># of people</v>
          </cell>
          <cell r="L94">
            <v>13520.68111</v>
          </cell>
          <cell r="M94">
            <v>13661.840299999998</v>
          </cell>
          <cell r="N94">
            <v>13803.691440000001</v>
          </cell>
          <cell r="O94">
            <v>13944.276469999999</v>
          </cell>
          <cell r="P94">
            <v>14082.801340000002</v>
          </cell>
          <cell r="Q94">
            <v>14218.715590000002</v>
          </cell>
          <cell r="R94">
            <v>14351.918940000001</v>
          </cell>
          <cell r="S94">
            <v>14482.437540000003</v>
          </cell>
          <cell r="T94">
            <v>14610.4211</v>
          </cell>
          <cell r="U94">
            <v>14736.24631</v>
          </cell>
          <cell r="V94">
            <v>14860.320880000001</v>
          </cell>
          <cell r="W94">
            <v>14983.078860000001</v>
          </cell>
          <cell r="X94">
            <v>15104.70127</v>
          </cell>
          <cell r="Y94">
            <v>15225.195700000002</v>
          </cell>
          <cell r="Z94">
            <v>15344.62486</v>
          </cell>
          <cell r="AA94">
            <v>15463.089019999998</v>
          </cell>
          <cell r="AB94">
            <v>15580.68845</v>
          </cell>
          <cell r="AC94">
            <v>15697.50913</v>
          </cell>
          <cell r="AD94">
            <v>15813.626329999999</v>
          </cell>
          <cell r="AE94">
            <v>15929.254489999999</v>
          </cell>
        </row>
        <row r="95">
          <cell r="G95" t="str">
            <v>RegionDataCenterStock</v>
          </cell>
          <cell r="H95" t="str">
            <v>DataCenter</v>
          </cell>
          <cell r="I95" t="str">
            <v>DataCenter</v>
          </cell>
          <cell r="J95" t="str">
            <v>Stock</v>
          </cell>
          <cell r="K95" t="str">
            <v>Consumption (aMW)</v>
          </cell>
          <cell r="L95">
            <v>381.60143269415096</v>
          </cell>
          <cell r="M95">
            <v>404.69885906229592</v>
          </cell>
          <cell r="N95">
            <v>421.46039895133885</v>
          </cell>
          <cell r="O95">
            <v>419.64642143844253</v>
          </cell>
          <cell r="P95">
            <v>423.66562864853898</v>
          </cell>
          <cell r="Q95">
            <v>432.76092390952061</v>
          </cell>
          <cell r="R95">
            <v>446.31531189522576</v>
          </cell>
          <cell r="S95">
            <v>450.98222620533323</v>
          </cell>
          <cell r="T95">
            <v>459.05126073815245</v>
          </cell>
          <cell r="U95">
            <v>470.19601765719887</v>
          </cell>
          <cell r="V95">
            <v>484.16208251533135</v>
          </cell>
          <cell r="W95">
            <v>494.21069266812788</v>
          </cell>
          <cell r="X95">
            <v>506.64189476780371</v>
          </cell>
          <cell r="Y95">
            <v>521.35392484293436</v>
          </cell>
          <cell r="Z95">
            <v>538.28523642117</v>
          </cell>
          <cell r="AA95">
            <v>554.01935267425768</v>
          </cell>
          <cell r="AB95">
            <v>571.88182312772415</v>
          </cell>
          <cell r="AC95">
            <v>591.90212163156946</v>
          </cell>
          <cell r="AD95">
            <v>614.13634434495953</v>
          </cell>
          <cell r="AE95">
            <v>636.87438282107769</v>
          </cell>
        </row>
        <row r="96">
          <cell r="G96" t="str">
            <v>RegionTotalLoadStock</v>
          </cell>
          <cell r="H96" t="str">
            <v>DEI</v>
          </cell>
          <cell r="I96" t="str">
            <v>TotalLoad</v>
          </cell>
          <cell r="J96" t="str">
            <v>Stock</v>
          </cell>
          <cell r="K96" t="str">
            <v>Consumption (aMW)</v>
          </cell>
          <cell r="L96">
            <v>21071.66</v>
          </cell>
          <cell r="M96">
            <v>21195.54</v>
          </cell>
          <cell r="N96">
            <v>21410</v>
          </cell>
          <cell r="O96">
            <v>21551.43</v>
          </cell>
          <cell r="P96">
            <v>21679.64</v>
          </cell>
          <cell r="Q96">
            <v>21827.78</v>
          </cell>
          <cell r="R96">
            <v>21990.98</v>
          </cell>
          <cell r="S96">
            <v>22168.240000000002</v>
          </cell>
          <cell r="T96">
            <v>22361.75</v>
          </cell>
          <cell r="U96">
            <v>22575.51</v>
          </cell>
          <cell r="V96">
            <v>22799.94</v>
          </cell>
          <cell r="W96">
            <v>23044.44</v>
          </cell>
          <cell r="X96">
            <v>23305.64</v>
          </cell>
          <cell r="Y96">
            <v>23567.14</v>
          </cell>
          <cell r="Z96">
            <v>23843.91</v>
          </cell>
          <cell r="AA96">
            <v>24084.7</v>
          </cell>
          <cell r="AB96">
            <v>24359.31</v>
          </cell>
          <cell r="AC96">
            <v>24636.46</v>
          </cell>
          <cell r="AD96">
            <v>24918.69</v>
          </cell>
          <cell r="AE96">
            <v>25207.16</v>
          </cell>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row r="501">
          <cell r="G501"/>
          <cell r="H501"/>
          <cell r="I501"/>
          <cell r="J501"/>
          <cell r="K501"/>
          <cell r="L501"/>
          <cell r="M501"/>
          <cell r="N501"/>
          <cell r="O501"/>
          <cell r="P501"/>
          <cell r="Q501"/>
          <cell r="R501"/>
          <cell r="S501"/>
          <cell r="T501"/>
          <cell r="U501"/>
          <cell r="V501"/>
          <cell r="W501"/>
          <cell r="X501"/>
          <cell r="Y501"/>
          <cell r="Z501"/>
          <cell r="AA501"/>
          <cell r="AB501"/>
          <cell r="AC501"/>
          <cell r="AD501"/>
          <cell r="AE501"/>
        </row>
      </sheetData>
      <sheetData sheetId="2"/>
      <sheetData sheetId="3"/>
      <sheetData sheetId="4">
        <row r="12">
          <cell r="AK12">
            <v>2016</v>
          </cell>
          <cell r="AL12">
            <v>2017</v>
          </cell>
          <cell r="AM12">
            <v>2018</v>
          </cell>
          <cell r="AN12">
            <v>2019</v>
          </cell>
          <cell r="AO12">
            <v>2020</v>
          </cell>
          <cell r="AP12">
            <v>2021</v>
          </cell>
          <cell r="AQ12">
            <v>2022</v>
          </cell>
          <cell r="AR12">
            <v>2023</v>
          </cell>
          <cell r="AS12">
            <v>2024</v>
          </cell>
          <cell r="AT12">
            <v>2025</v>
          </cell>
          <cell r="AU12">
            <v>2026</v>
          </cell>
          <cell r="AV12">
            <v>2027</v>
          </cell>
          <cell r="AW12">
            <v>2028</v>
          </cell>
          <cell r="AX12">
            <v>2029</v>
          </cell>
          <cell r="AY12">
            <v>2030</v>
          </cell>
          <cell r="AZ12">
            <v>2031</v>
          </cell>
          <cell r="BA12">
            <v>2032</v>
          </cell>
          <cell r="BB12">
            <v>2033</v>
          </cell>
          <cell r="BC12">
            <v>2034</v>
          </cell>
          <cell r="BD12">
            <v>2035</v>
          </cell>
        </row>
        <row r="14">
          <cell r="B14" t="str">
            <v>ORSingle FamilyNew</v>
          </cell>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B15" t="str">
            <v>ORMultifamily - Low RiseNew</v>
          </cell>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B16" t="str">
            <v>ORMultifamily - High RiseNew</v>
          </cell>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B17" t="str">
            <v>ORManufacturedNew</v>
          </cell>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B18" t="str">
            <v>ORSingle FamilyExisting</v>
          </cell>
          <cell r="C18" t="str">
            <v>OR_Single Family</v>
          </cell>
          <cell r="D18" t="str">
            <v>Single Family</v>
          </cell>
          <cell r="E18" t="str">
            <v>Existing</v>
          </cell>
          <cell r="F18"/>
          <cell r="G18"/>
          <cell r="H18"/>
          <cell r="I18"/>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B19" t="str">
            <v>ORMultifamily - Low RiseExisting</v>
          </cell>
          <cell r="C19" t="str">
            <v>OR_Multi Family</v>
          </cell>
          <cell r="D19" t="str">
            <v>Multifamily - Low Rise</v>
          </cell>
          <cell r="E19" t="str">
            <v>Existing</v>
          </cell>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B20" t="str">
            <v>ORMultifamily - High RiseExisting</v>
          </cell>
          <cell r="D20" t="str">
            <v>Multifamily - High Rise</v>
          </cell>
          <cell r="E20" t="str">
            <v>Existing</v>
          </cell>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B21" t="str">
            <v>ORManufacturedExisting</v>
          </cell>
          <cell r="C21" t="str">
            <v>OR_Other Family</v>
          </cell>
          <cell r="D21" t="str">
            <v>Manufactured</v>
          </cell>
          <cell r="E21" t="str">
            <v>Existing</v>
          </cell>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2">
          <cell r="BD22"/>
        </row>
        <row r="23">
          <cell r="D23" t="str">
            <v>WASHINGTON</v>
          </cell>
          <cell r="E23"/>
          <cell r="F23"/>
          <cell r="G23"/>
          <cell r="BD23"/>
        </row>
        <row r="24">
          <cell r="B24" t="str">
            <v>WASingle FamilyNew</v>
          </cell>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B25" t="str">
            <v>WAMultifamily - Low RiseNew</v>
          </cell>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B26" t="str">
            <v>WAMultifamily - High RiseNew</v>
          </cell>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B27" t="str">
            <v>WAManufacturedNew</v>
          </cell>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B28" t="str">
            <v>WASingle FamilyExisting</v>
          </cell>
          <cell r="C28" t="str">
            <v>WA_Single Family</v>
          </cell>
          <cell r="D28" t="str">
            <v>Single Family</v>
          </cell>
          <cell r="E28" t="str">
            <v>Existing</v>
          </cell>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B29" t="str">
            <v>WAMultifamily - Low RiseExisting</v>
          </cell>
          <cell r="C29" t="str">
            <v>WA_Multi Family</v>
          </cell>
          <cell r="D29" t="str">
            <v>Multifamily - Low Rise</v>
          </cell>
          <cell r="E29" t="str">
            <v>Existing</v>
          </cell>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B30" t="str">
            <v>WAMultifamily - High RiseExisting</v>
          </cell>
          <cell r="D30" t="str">
            <v>Multifamily - High Rise</v>
          </cell>
          <cell r="E30" t="str">
            <v>Existing</v>
          </cell>
          <cell r="F30"/>
          <cell r="G30"/>
          <cell r="H30"/>
          <cell r="I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B31" t="str">
            <v>WAManufacturedExisting</v>
          </cell>
          <cell r="C31" t="str">
            <v>WA_Other Family</v>
          </cell>
          <cell r="D31" t="str">
            <v>Manufactured</v>
          </cell>
          <cell r="E31" t="str">
            <v>Existing</v>
          </cell>
          <cell r="F31"/>
          <cell r="G31"/>
          <cell r="H31"/>
          <cell r="I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2">
          <cell r="BD32"/>
        </row>
        <row r="33">
          <cell r="D33" t="str">
            <v>IDAHO</v>
          </cell>
          <cell r="E33"/>
          <cell r="F33"/>
          <cell r="G33"/>
          <cell r="BD33"/>
        </row>
        <row r="34">
          <cell r="B34" t="str">
            <v>IDSingle FamilyNew</v>
          </cell>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B35" t="str">
            <v>IDMultifamily - Low RiseNew</v>
          </cell>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B36" t="str">
            <v>IDMultifamily - High RiseNew</v>
          </cell>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B37" t="str">
            <v>IDManufacturedNew</v>
          </cell>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B38" t="str">
            <v>IDSingle FamilyExisting</v>
          </cell>
          <cell r="C38" t="str">
            <v>ID_Single Family</v>
          </cell>
          <cell r="D38" t="str">
            <v>Single Family</v>
          </cell>
          <cell r="E38" t="str">
            <v>Existing</v>
          </cell>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B39" t="str">
            <v>IDMultifamily - Low RiseExisting</v>
          </cell>
          <cell r="C39" t="str">
            <v>ID_Multi Family</v>
          </cell>
          <cell r="D39" t="str">
            <v>Multifamily - Low Rise</v>
          </cell>
          <cell r="E39" t="str">
            <v>Existing</v>
          </cell>
          <cell r="F39"/>
          <cell r="G39"/>
          <cell r="H39"/>
          <cell r="I39"/>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B40" t="str">
            <v>IDMultifamily - High RiseExisting</v>
          </cell>
          <cell r="D40" t="str">
            <v>Multifamily - High Rise</v>
          </cell>
          <cell r="E40" t="str">
            <v>Existing</v>
          </cell>
          <cell r="F40"/>
          <cell r="G40"/>
          <cell r="H40"/>
          <cell r="I40"/>
          <cell r="J40"/>
          <cell r="K40"/>
          <cell r="L40"/>
          <cell r="M40"/>
          <cell r="N40"/>
          <cell r="O40"/>
          <cell r="P40"/>
          <cell r="Q40"/>
          <cell r="R40"/>
          <cell r="S40"/>
          <cell r="T40"/>
          <cell r="U40"/>
          <cell r="V40"/>
          <cell r="W40"/>
          <cell r="X40"/>
          <cell r="Y40"/>
          <cell r="Z40"/>
          <cell r="AA40"/>
          <cell r="AB40"/>
          <cell r="AC40"/>
          <cell r="AD40"/>
          <cell r="AE40"/>
          <cell r="AF40"/>
          <cell r="AG40"/>
          <cell r="AH40"/>
          <cell r="AI40"/>
          <cell r="AJ40"/>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B41" t="str">
            <v>IDManufacturedExisting</v>
          </cell>
          <cell r="C41" t="str">
            <v>ID_Other Family</v>
          </cell>
          <cell r="D41" t="str">
            <v>Manufactured</v>
          </cell>
          <cell r="E41" t="str">
            <v>Existing</v>
          </cell>
          <cell r="F41"/>
          <cell r="G41"/>
          <cell r="H41"/>
          <cell r="I41"/>
          <cell r="J41"/>
          <cell r="K41"/>
          <cell r="L41"/>
          <cell r="M41"/>
          <cell r="N41"/>
          <cell r="O41"/>
          <cell r="P41"/>
          <cell r="Q41"/>
          <cell r="R41"/>
          <cell r="S41"/>
          <cell r="T41"/>
          <cell r="U41"/>
          <cell r="V41"/>
          <cell r="W41"/>
          <cell r="X41"/>
          <cell r="Y41"/>
          <cell r="Z41"/>
          <cell r="AA41"/>
          <cell r="AB41"/>
          <cell r="AC41"/>
          <cell r="AD41"/>
          <cell r="AE41"/>
          <cell r="AF41"/>
          <cell r="AG41"/>
          <cell r="AH41"/>
          <cell r="AI41"/>
          <cell r="AJ41"/>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2">
          <cell r="BD42"/>
        </row>
        <row r="43">
          <cell r="D43" t="str">
            <v>MONTANA</v>
          </cell>
          <cell r="E43">
            <v>0.56999999999999995</v>
          </cell>
          <cell r="F43" t="str">
            <v>Western MT portion of state</v>
          </cell>
          <cell r="G43"/>
          <cell r="BD43"/>
        </row>
        <row r="44">
          <cell r="B44" t="str">
            <v>MTSingle FamilyNew</v>
          </cell>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B45" t="str">
            <v>MTMultifamily - Low RiseNew</v>
          </cell>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B46" t="str">
            <v>MTMultifamily - High RiseNew</v>
          </cell>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B47" t="str">
            <v>MTManufacturedNew</v>
          </cell>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B48" t="str">
            <v>MTSingle FamilyExisting</v>
          </cell>
          <cell r="C48" t="str">
            <v>MT_Single Family</v>
          </cell>
          <cell r="D48" t="str">
            <v>Single Family</v>
          </cell>
          <cell r="E48" t="str">
            <v>Existing</v>
          </cell>
          <cell r="F48"/>
          <cell r="G48"/>
          <cell r="H48"/>
          <cell r="I48"/>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B49" t="str">
            <v>MTMultifamily - Low RiseExisting</v>
          </cell>
          <cell r="C49" t="str">
            <v>MT_Multi Family</v>
          </cell>
          <cell r="D49" t="str">
            <v>Multifamily - Low Rise</v>
          </cell>
          <cell r="E49" t="str">
            <v>Existing</v>
          </cell>
          <cell r="F49"/>
          <cell r="G49"/>
          <cell r="H49"/>
          <cell r="I49"/>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B50" t="str">
            <v>MTMultifamily - High RiseExisting</v>
          </cell>
          <cell r="C50" t="str">
            <v>MT</v>
          </cell>
          <cell r="D50" t="str">
            <v>Multifamily - High Rise</v>
          </cell>
          <cell r="E50" t="str">
            <v>Existing</v>
          </cell>
          <cell r="F50"/>
          <cell r="G50"/>
          <cell r="H50"/>
          <cell r="I50"/>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B51" t="str">
            <v>MTManufacturedExisting</v>
          </cell>
          <cell r="C51" t="str">
            <v>MT_Other Family</v>
          </cell>
          <cell r="D51" t="str">
            <v>Manufactured</v>
          </cell>
          <cell r="E51" t="str">
            <v>Existing</v>
          </cell>
          <cell r="F51"/>
          <cell r="G51"/>
          <cell r="H51"/>
          <cell r="I51"/>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cell r="E53"/>
          <cell r="F53"/>
          <cell r="G53"/>
          <cell r="BD53"/>
        </row>
        <row r="54">
          <cell r="B54" t="str">
            <v>RegionSingle FamilyNew</v>
          </cell>
          <cell r="C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B55" t="str">
            <v>RegionMultifamily - Low RiseNew</v>
          </cell>
          <cell r="C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B56" t="str">
            <v>RegionMultifamily - High RiseNew</v>
          </cell>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B57" t="str">
            <v>RegionManufacturedNew</v>
          </cell>
          <cell r="C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B58" t="str">
            <v>RegionSingle FamilyExisting</v>
          </cell>
          <cell r="C58"/>
          <cell r="D58" t="str">
            <v>Single Family</v>
          </cell>
          <cell r="E58" t="str">
            <v>Existing</v>
          </cell>
          <cell r="F58"/>
          <cell r="G58"/>
          <cell r="H58"/>
          <cell r="I58"/>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B59" t="str">
            <v>RegionMultifamily - Low RiseExisting</v>
          </cell>
          <cell r="C59"/>
          <cell r="D59" t="str">
            <v>Multifamily - Low Rise</v>
          </cell>
          <cell r="E59" t="str">
            <v>Existing</v>
          </cell>
          <cell r="F59"/>
          <cell r="G59"/>
          <cell r="H59"/>
          <cell r="I59"/>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B60" t="str">
            <v>RegionMultifamily - High RiseExisting</v>
          </cell>
          <cell r="D60" t="str">
            <v>Multifamily - High Rise</v>
          </cell>
          <cell r="E60" t="str">
            <v>Existing</v>
          </cell>
          <cell r="F60"/>
          <cell r="G60"/>
          <cell r="H60"/>
          <cell r="I60"/>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B61" t="str">
            <v>RegionManufacturedExisting</v>
          </cell>
          <cell r="C61"/>
          <cell r="D61" t="str">
            <v>Manufactured</v>
          </cell>
          <cell r="E61" t="str">
            <v>Existing</v>
          </cell>
          <cell r="F61"/>
          <cell r="G61"/>
          <cell r="H61"/>
          <cell r="I61"/>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ExistingSat" refersTo="='SATS'!$B$10:$F$84"/>
      <definedName name="NewSat" refersTo="='SATS'!$B$87:$F$152"/>
      <definedName name="ResApplic" refersTo="='APPLIC'!$B$8:$F$119"/>
    </definedNames>
    <sheetDataSet>
      <sheetData sheetId="0" refreshError="1"/>
      <sheetData sheetId="1" refreshError="1"/>
      <sheetData sheetId="2">
        <row r="9">
          <cell r="B9" t="str">
            <v>Lighting</v>
          </cell>
        </row>
        <row r="10">
          <cell r="B10" t="str">
            <v>Lighting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0.56056700768085099</v>
          </cell>
        </row>
        <row r="52">
          <cell r="B52" t="str">
            <v>Duct Sealing - Retro</v>
          </cell>
          <cell r="C52">
            <v>0.4293783331765883</v>
          </cell>
          <cell r="D52">
            <v>0</v>
          </cell>
          <cell r="E52">
            <v>0</v>
          </cell>
          <cell r="F52">
            <v>0.53253865729680838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efreshError="1"/>
      <sheetData sheetId="6" refreshError="1"/>
      <sheetData sheetId="7" refreshError="1"/>
      <sheetData sheetId="8">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row>
        <row r="83">
          <cell r="A83" t="str">
            <v>Water heating</v>
          </cell>
          <cell r="B83" t="str">
            <v>WH Pipe insulation - Retro</v>
          </cell>
          <cell r="C83" t="str">
            <v>Retro12Med</v>
          </cell>
        </row>
        <row r="84">
          <cell r="A84" t="str">
            <v>HVAC</v>
          </cell>
          <cell r="B84" t="str">
            <v>DHP Ducted - NR</v>
          </cell>
          <cell r="C84" t="str">
            <v>LO12Med</v>
          </cell>
        </row>
        <row r="85">
          <cell r="A85" t="str">
            <v>Electronics</v>
          </cell>
          <cell r="B85" t="str">
            <v>Advanced Power Strips - New</v>
          </cell>
          <cell r="C85" t="str">
            <v>LO3Slow</v>
          </cell>
        </row>
        <row r="86">
          <cell r="A86" t="str">
            <v>Electronics</v>
          </cell>
          <cell r="B86" t="str">
            <v>Advanced Power Strips - Retro</v>
          </cell>
          <cell r="C86" t="str">
            <v>Retro3Slow</v>
          </cell>
        </row>
        <row r="87">
          <cell r="A87" t="str">
            <v>HVAC</v>
          </cell>
          <cell r="B87" t="str">
            <v>Controls Commissioning and Sizing - New</v>
          </cell>
          <cell r="C87" t="str">
            <v>LO5Med</v>
          </cell>
        </row>
        <row r="88">
          <cell r="A88" t="str">
            <v>HVAC</v>
          </cell>
          <cell r="B88" t="str">
            <v>Controls Commissioning and Sizing - NR</v>
          </cell>
          <cell r="C88" t="str">
            <v>LO5Med</v>
          </cell>
        </row>
        <row r="89">
          <cell r="A89" t="str">
            <v>HVAC</v>
          </cell>
          <cell r="B89" t="str">
            <v>ResWx - Retro</v>
          </cell>
          <cell r="C89" t="str">
            <v>Retro12Med</v>
          </cell>
        </row>
      </sheetData>
      <sheetData sheetId="10" refreshError="1"/>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row r="120">
          <cell r="B120" t="str">
            <v>Central AC - CZ1</v>
          </cell>
          <cell r="C120">
            <v>0.99177648564154341</v>
          </cell>
          <cell r="D120">
            <v>1.2325175673207357E-2</v>
          </cell>
          <cell r="E120">
            <v>1.2325175673207357E-2</v>
          </cell>
          <cell r="F120">
            <v>0.14076353391268348</v>
          </cell>
        </row>
        <row r="121">
          <cell r="B121" t="str">
            <v>Central AC - CZ23</v>
          </cell>
          <cell r="C121">
            <v>0.97720135258324703</v>
          </cell>
          <cell r="D121">
            <v>6.8965519290222155E-2</v>
          </cell>
          <cell r="E121">
            <v>6.8965519290222155E-2</v>
          </cell>
          <cell r="F121">
            <v>0.17641272113455647</v>
          </cell>
        </row>
        <row r="122">
          <cell r="B122" t="str">
            <v>Room A/C - CZ1</v>
          </cell>
          <cell r="C122">
            <v>8.2235143584565747E-3</v>
          </cell>
          <cell r="D122">
            <v>5.3226756579866766E-2</v>
          </cell>
          <cell r="E122">
            <v>5.3226756579866766E-2</v>
          </cell>
          <cell r="F122">
            <v>0.21069287259219041</v>
          </cell>
        </row>
        <row r="123">
          <cell r="B123" t="str">
            <v>Room A/C - CZ23</v>
          </cell>
          <cell r="C123">
            <v>2.2798647416753057E-2</v>
          </cell>
          <cell r="D123">
            <v>0.10344827665008544</v>
          </cell>
          <cell r="E123">
            <v>0.10344827665008544</v>
          </cell>
          <cell r="F123">
            <v>0.16156829862253547</v>
          </cell>
        </row>
        <row r="124">
          <cell r="B124" t="str">
            <v>Electric WH</v>
          </cell>
          <cell r="C124">
            <v>0.55200000000000005</v>
          </cell>
          <cell r="D124">
            <v>0.94699999999999995</v>
          </cell>
          <cell r="E124">
            <v>0.94699999999999995</v>
          </cell>
          <cell r="F124">
            <v>0.88900000000000001</v>
          </cell>
        </row>
        <row r="125">
          <cell r="B125" t="str">
            <v xml:space="preserve">DHW &lt;55 </v>
          </cell>
          <cell r="C125">
            <v>0.58017916240221834</v>
          </cell>
        </row>
        <row r="126">
          <cell r="B126" t="str">
            <v>DHW &gt;55</v>
          </cell>
          <cell r="C126">
            <v>0.4198208375977816</v>
          </cell>
        </row>
        <row r="127">
          <cell r="B127" t="str">
            <v>Refrigerator</v>
          </cell>
          <cell r="C127">
            <v>1.2831400506742725</v>
          </cell>
          <cell r="D127">
            <v>1.0236201688615751</v>
          </cell>
          <cell r="E127">
            <v>1.0236201688615751</v>
          </cell>
          <cell r="F127">
            <v>1.1963734390534748</v>
          </cell>
        </row>
        <row r="128">
          <cell r="B128" t="str">
            <v>Freezer</v>
          </cell>
          <cell r="C128">
            <v>0.52766223341265472</v>
          </cell>
          <cell r="D128">
            <v>4.7085148422193572E-2</v>
          </cell>
          <cell r="E128">
            <v>4.7085148422193572E-2</v>
          </cell>
          <cell r="F128">
            <v>0.44147575101117187</v>
          </cell>
        </row>
        <row r="129">
          <cell r="B129" t="str">
            <v>Clothes Washer</v>
          </cell>
          <cell r="C129">
            <v>0.98546930096285335</v>
          </cell>
          <cell r="D129">
            <v>0.46477658924872384</v>
          </cell>
          <cell r="E129">
            <v>0.46477658924872384</v>
          </cell>
          <cell r="F129">
            <v>0.95368270905809616</v>
          </cell>
        </row>
        <row r="130">
          <cell r="B130" t="str">
            <v>Clothes Dryer</v>
          </cell>
          <cell r="C130">
            <v>0.93640551858187504</v>
          </cell>
          <cell r="D130">
            <v>0.46266057162974022</v>
          </cell>
          <cell r="E130">
            <v>0.46266057162974022</v>
          </cell>
          <cell r="F130">
            <v>0.88480083438048951</v>
          </cell>
        </row>
        <row r="131">
          <cell r="B131" t="str">
            <v>Dishwasher</v>
          </cell>
          <cell r="C131">
            <v>0.87764489634961651</v>
          </cell>
          <cell r="D131">
            <v>0.78113749066870952</v>
          </cell>
          <cell r="E131">
            <v>0.78113749066870952</v>
          </cell>
          <cell r="F131">
            <v>0.76196535734220561</v>
          </cell>
        </row>
        <row r="132">
          <cell r="B132" t="str">
            <v>Microwave</v>
          </cell>
          <cell r="C132">
            <v>0.95</v>
          </cell>
          <cell r="D132">
            <v>0.95</v>
          </cell>
          <cell r="E132">
            <v>0.95</v>
          </cell>
          <cell r="F132">
            <v>0.95</v>
          </cell>
        </row>
        <row r="133">
          <cell r="B133" t="str">
            <v>Electric Oven</v>
          </cell>
          <cell r="C133">
            <v>0.86895503473004965</v>
          </cell>
          <cell r="D133">
            <v>0.96585088459989477</v>
          </cell>
          <cell r="E133">
            <v>0.96585088459989477</v>
          </cell>
          <cell r="F133">
            <v>0.89920410170315002</v>
          </cell>
        </row>
        <row r="134">
          <cell r="B134" t="str">
            <v>TV</v>
          </cell>
          <cell r="C134">
            <v>2.6054137843968896</v>
          </cell>
          <cell r="D134">
            <v>1.5145007606068333</v>
          </cell>
          <cell r="E134">
            <v>1.5145007606068333</v>
          </cell>
          <cell r="F134">
            <v>2.0454162110233622</v>
          </cell>
        </row>
        <row r="135">
          <cell r="B135" t="str">
            <v>Set top box</v>
          </cell>
          <cell r="C135">
            <v>1.0654190989347723</v>
          </cell>
          <cell r="D135">
            <v>1.038434724492763</v>
          </cell>
          <cell r="E135">
            <v>1.038434724492763</v>
          </cell>
          <cell r="F135">
            <v>1.3170555258448295</v>
          </cell>
        </row>
        <row r="136">
          <cell r="B136" t="str">
            <v>Computer</v>
          </cell>
          <cell r="C136">
            <v>1.6074234662188889</v>
          </cell>
          <cell r="D136">
            <v>0.71239882016544165</v>
          </cell>
          <cell r="E136">
            <v>0.71239882016544165</v>
          </cell>
          <cell r="F136">
            <v>1.1331497454290105</v>
          </cell>
        </row>
        <row r="137">
          <cell r="B137" t="str">
            <v>Monitor</v>
          </cell>
          <cell r="C137">
            <v>1.0109839382712824</v>
          </cell>
          <cell r="D137">
            <v>0.45062457275939666</v>
          </cell>
          <cell r="E137">
            <v>0.45062457275939666</v>
          </cell>
          <cell r="F137">
            <v>0.72198913200149617</v>
          </cell>
        </row>
        <row r="138">
          <cell r="B138" t="str">
            <v>EISA nx</v>
          </cell>
          <cell r="C138">
            <v>0.73183262488926393</v>
          </cell>
          <cell r="D138">
            <v>0.41826483853544827</v>
          </cell>
          <cell r="E138">
            <v>0.41826483853544827</v>
          </cell>
          <cell r="F138">
            <v>0.81140182193357802</v>
          </cell>
        </row>
        <row r="139">
          <cell r="B139" t="str">
            <v>EISA x</v>
          </cell>
          <cell r="C139">
            <v>0.26816737511073607</v>
          </cell>
          <cell r="D139">
            <v>0.58148897029728519</v>
          </cell>
          <cell r="E139">
            <v>0.58148897029728519</v>
          </cell>
          <cell r="F139">
            <v>0.18859817806642193</v>
          </cell>
        </row>
        <row r="140">
          <cell r="B140" t="str">
            <v>WallSqft</v>
          </cell>
          <cell r="C140">
            <v>583.40896061568401</v>
          </cell>
        </row>
        <row r="141">
          <cell r="B141" t="str">
            <v>AtticSqft</v>
          </cell>
          <cell r="C141">
            <v>1177.7370772549227</v>
          </cell>
        </row>
        <row r="142">
          <cell r="B142" t="str">
            <v>FloorSqft</v>
          </cell>
          <cell r="C142">
            <v>1177.7370772549227</v>
          </cell>
        </row>
        <row r="143">
          <cell r="B143" t="str">
            <v>WindowSqft</v>
          </cell>
          <cell r="C143">
            <v>147.21713465686534</v>
          </cell>
        </row>
        <row r="144">
          <cell r="B144" t="str">
            <v>HomeSqft</v>
          </cell>
          <cell r="C144">
            <v>2355.4741545098454</v>
          </cell>
        </row>
        <row r="145">
          <cell r="B145" t="str">
            <v>Lighting</v>
          </cell>
          <cell r="C145">
            <v>77</v>
          </cell>
          <cell r="D145">
            <v>23</v>
          </cell>
          <cell r="E145">
            <v>23</v>
          </cell>
          <cell r="F145">
            <v>34.5</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ew (2)"/>
      <sheetName val="SC-NR"/>
      <sheetName val="SC-NR (2)"/>
      <sheetName val="Accomplishments"/>
      <sheetName val="Bulb Weighting"/>
      <sheetName val="M_Input_Out"/>
      <sheetName val="M_Input"/>
      <sheetName val="Composite"/>
      <sheetName val="Trend"/>
      <sheetName val="RawRTF"/>
      <sheetName val="Measure Assembly"/>
      <sheetName val="Summary Tables"/>
      <sheetName val="CFL and LED Efficacy"/>
      <sheetName val="CFL and LED Cost"/>
      <sheetName val="Lifetime"/>
      <sheetName val="Space Conditioning Interaction"/>
      <sheetName val="StorageTakebackRemoval"/>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9">
          <cell r="E49" t="str">
            <v>Decorative and Mini-Base250 to 664 lumens</v>
          </cell>
          <cell r="F49">
            <v>1992</v>
          </cell>
          <cell r="G49">
            <v>19146261.619720459</v>
          </cell>
          <cell r="H49">
            <v>8.1081096380314688E-2</v>
          </cell>
          <cell r="I49">
            <v>37</v>
          </cell>
          <cell r="J49">
            <v>1.6401583657682686</v>
          </cell>
          <cell r="K49">
            <v>1.7916917647822357</v>
          </cell>
          <cell r="L49">
            <v>1.7835655628514451</v>
          </cell>
          <cell r="M49">
            <v>0.95039973261931343</v>
          </cell>
          <cell r="N49">
            <v>416.60324051305236</v>
          </cell>
        </row>
        <row r="50">
          <cell r="E50" t="str">
            <v>Decorative and Mini-Base665 to 1439 lumens</v>
          </cell>
          <cell r="F50">
            <v>590</v>
          </cell>
          <cell r="G50">
            <v>5251290.0697937012</v>
          </cell>
          <cell r="H50">
            <v>2.2238302428260096E-2</v>
          </cell>
          <cell r="I50">
            <v>31.100271002710024</v>
          </cell>
          <cell r="J50">
            <v>2.357302490345714</v>
          </cell>
          <cell r="K50">
            <v>1.8789514442368003</v>
          </cell>
          <cell r="L50">
            <v>1.7864498053021971</v>
          </cell>
          <cell r="M50">
            <v>0.91018036838446348</v>
          </cell>
          <cell r="N50">
            <v>857.43632997438363</v>
          </cell>
        </row>
        <row r="51">
          <cell r="E51" t="str">
            <v>Decorative and Mini-Base1440 to 2600 lumens</v>
          </cell>
          <cell r="F51">
            <v>21</v>
          </cell>
          <cell r="G51">
            <v>103169.34893798828</v>
          </cell>
          <cell r="H51">
            <v>4.3690429447174121E-4</v>
          </cell>
          <cell r="I51">
            <v>37</v>
          </cell>
          <cell r="J51">
            <v>2.5719834880984087</v>
          </cell>
          <cell r="K51">
            <v>1.6305080727614385</v>
          </cell>
          <cell r="L51">
            <v>4.4344805227500377</v>
          </cell>
          <cell r="M51">
            <v>0.92758145848349127</v>
          </cell>
          <cell r="N51">
            <v>2095.7287821060968</v>
          </cell>
        </row>
        <row r="52">
          <cell r="E52" t="str">
            <v>General Purpose and Dimmable250 to 664 lumens</v>
          </cell>
          <cell r="F52">
            <v>3069</v>
          </cell>
          <cell r="G52">
            <v>15988071.154602051</v>
          </cell>
          <cell r="H52">
            <v>6.7706707657562287E-2</v>
          </cell>
          <cell r="I52">
            <v>30</v>
          </cell>
          <cell r="J52">
            <v>2.2922322650479003</v>
          </cell>
          <cell r="K52">
            <v>1.7465101483744099</v>
          </cell>
          <cell r="L52">
            <v>2.2212671328668137</v>
          </cell>
          <cell r="M52">
            <v>0.91416456188155615</v>
          </cell>
          <cell r="N52">
            <v>473.98970089307483</v>
          </cell>
        </row>
        <row r="53">
          <cell r="E53" t="str">
            <v>General Purpose and Dimmable665 to 1439 lumens</v>
          </cell>
          <cell r="F53">
            <v>24073</v>
          </cell>
          <cell r="G53">
            <v>123371362.27828979</v>
          </cell>
          <cell r="H53">
            <v>0.52245631623218058</v>
          </cell>
          <cell r="I53">
            <v>28.108457226419695</v>
          </cell>
          <cell r="J53">
            <v>1.8938582807005411</v>
          </cell>
          <cell r="K53">
            <v>1.8773637680174413</v>
          </cell>
          <cell r="L53">
            <v>4.3220699727314233</v>
          </cell>
          <cell r="M53">
            <v>0.85791980570535631</v>
          </cell>
          <cell r="N53">
            <v>949.2054457712826</v>
          </cell>
        </row>
        <row r="54">
          <cell r="E54" t="str">
            <v>General Purpose and Dimmable1440 to 2600 lumens</v>
          </cell>
          <cell r="F54">
            <v>2951</v>
          </cell>
          <cell r="G54">
            <v>12300282.996917725</v>
          </cell>
          <cell r="H54">
            <v>5.2089564583772424E-2</v>
          </cell>
          <cell r="I54">
            <v>37</v>
          </cell>
          <cell r="J54">
            <v>1.8248331017915318</v>
          </cell>
          <cell r="K54">
            <v>1.9918551210859123</v>
          </cell>
          <cell r="L54">
            <v>3.8347243817323542</v>
          </cell>
          <cell r="M54">
            <v>0.78917112934974476</v>
          </cell>
          <cell r="N54">
            <v>1747.5999304005293</v>
          </cell>
        </row>
        <row r="55">
          <cell r="E55" t="str">
            <v>Globe250 to 664 lumens</v>
          </cell>
          <cell r="F55">
            <v>926</v>
          </cell>
          <cell r="G55">
            <v>10512756.317199707</v>
          </cell>
          <cell r="H55">
            <v>4.4519699203299436E-2</v>
          </cell>
          <cell r="I55">
            <v>37</v>
          </cell>
          <cell r="J55">
            <v>2.1737529557872382</v>
          </cell>
          <cell r="K55">
            <v>1.3853142296217029</v>
          </cell>
          <cell r="L55">
            <v>2.2408705642884907</v>
          </cell>
          <cell r="M55">
            <v>0.99302587722156699</v>
          </cell>
          <cell r="N55">
            <v>474.28450426267824</v>
          </cell>
        </row>
        <row r="56">
          <cell r="E56" t="str">
            <v>Globe665 to 1439 lumens</v>
          </cell>
          <cell r="F56">
            <v>677</v>
          </cell>
          <cell r="G56">
            <v>6410410.1278991699</v>
          </cell>
          <cell r="H56">
            <v>2.7146974784998612E-2</v>
          </cell>
          <cell r="I56">
            <v>31.100271002710024</v>
          </cell>
          <cell r="J56">
            <v>4.74556552718155</v>
          </cell>
          <cell r="K56">
            <v>1.4133478593569577</v>
          </cell>
          <cell r="L56">
            <v>2.7621105076077872</v>
          </cell>
          <cell r="M56">
            <v>0.97668256411584331</v>
          </cell>
          <cell r="N56">
            <v>854.01386924203234</v>
          </cell>
        </row>
        <row r="57">
          <cell r="E57" t="str">
            <v>Globe1440 to 2600 lumens</v>
          </cell>
          <cell r="F57">
            <v>68</v>
          </cell>
          <cell r="G57">
            <v>483029.63061523437</v>
          </cell>
          <cell r="H57">
            <v>2.0455466875122243E-3</v>
          </cell>
          <cell r="I57">
            <v>37</v>
          </cell>
          <cell r="J57">
            <v>5.4627245082786207</v>
          </cell>
          <cell r="K57">
            <v>1.8779135295448872</v>
          </cell>
          <cell r="L57">
            <v>2.0492242794119604</v>
          </cell>
          <cell r="M57">
            <v>0.84854563840574837</v>
          </cell>
          <cell r="N57">
            <v>1845.0029433386362</v>
          </cell>
        </row>
        <row r="58">
          <cell r="E58" t="str">
            <v>Reflectors and Outdoor250 to 664 lumens</v>
          </cell>
          <cell r="F58">
            <v>370</v>
          </cell>
          <cell r="G58">
            <v>3343887.2616882324</v>
          </cell>
          <cell r="H58">
            <v>1.4160782440713806E-2</v>
          </cell>
          <cell r="I58">
            <v>38</v>
          </cell>
          <cell r="J58">
            <v>4.6350044381489033</v>
          </cell>
          <cell r="K58">
            <v>1.9506803142955835</v>
          </cell>
          <cell r="L58">
            <v>2.1002897994909375</v>
          </cell>
          <cell r="M58">
            <v>0.94622699649287401</v>
          </cell>
          <cell r="N58">
            <v>479.73166573433264</v>
          </cell>
        </row>
        <row r="59">
          <cell r="E59" t="str">
            <v>Reflectors and Outdoor665 to 1439 lumens</v>
          </cell>
          <cell r="F59">
            <v>3398</v>
          </cell>
          <cell r="G59">
            <v>33788975.437652588</v>
          </cell>
          <cell r="H59">
            <v>0.14309044911569505</v>
          </cell>
          <cell r="I59">
            <v>33.801608579088473</v>
          </cell>
          <cell r="J59">
            <v>6.0025868409413388</v>
          </cell>
          <cell r="K59">
            <v>2.2112998582903738</v>
          </cell>
          <cell r="L59">
            <v>2.7605785479478313</v>
          </cell>
          <cell r="M59">
            <v>0.82931998492682701</v>
          </cell>
          <cell r="N59">
            <v>972.55453255182397</v>
          </cell>
        </row>
        <row r="60">
          <cell r="E60" t="str">
            <v>Reflectors and Outdoor1440 to 2600 lumens</v>
          </cell>
          <cell r="F60">
            <v>381</v>
          </cell>
          <cell r="G60">
            <v>2776687.5482788086</v>
          </cell>
          <cell r="H60">
            <v>1.1758790054771059E-2</v>
          </cell>
          <cell r="I60">
            <v>92</v>
          </cell>
          <cell r="J60">
            <v>6.8379432184399001</v>
          </cell>
          <cell r="K60">
            <v>3.1412077290657425</v>
          </cell>
          <cell r="L60">
            <v>1.8152462117520278</v>
          </cell>
          <cell r="M60">
            <v>0.2985167573190915</v>
          </cell>
          <cell r="N60">
            <v>1835.2728077183538</v>
          </cell>
        </row>
        <row r="61">
          <cell r="E61" t="str">
            <v>Three-Way250 to 664 lumens</v>
          </cell>
          <cell r="F61">
            <v>8</v>
          </cell>
          <cell r="G61">
            <v>43569.994140625</v>
          </cell>
          <cell r="H61">
            <v>1.8451136646785988E-4</v>
          </cell>
          <cell r="I61">
            <v>91</v>
          </cell>
          <cell r="J61">
            <v>2.5086033161955381</v>
          </cell>
          <cell r="K61">
            <v>1.6416684714322591</v>
          </cell>
          <cell r="L61">
            <v>1.9664811264199897</v>
          </cell>
          <cell r="M61">
            <v>1</v>
          </cell>
          <cell r="N61">
            <v>415.0645318455953</v>
          </cell>
        </row>
        <row r="62">
          <cell r="E62" t="str">
            <v>Three-Way665 to 1439 lumens</v>
          </cell>
          <cell r="F62">
            <v>145</v>
          </cell>
          <cell r="G62">
            <v>537802.77087402344</v>
          </cell>
          <cell r="H62">
            <v>2.2775014342185534E-3</v>
          </cell>
          <cell r="I62">
            <v>91</v>
          </cell>
          <cell r="J62">
            <v>6.020444707725451</v>
          </cell>
          <cell r="K62">
            <v>1.9012991277195712</v>
          </cell>
          <cell r="L62">
            <v>3.7098631590053808</v>
          </cell>
          <cell r="M62">
            <v>0.9977909622715454</v>
          </cell>
          <cell r="N62">
            <v>1132.8409655317996</v>
          </cell>
        </row>
        <row r="63">
          <cell r="E63" t="str">
            <v>Three-Way1440 to 2600 lumens</v>
          </cell>
          <cell r="F63">
            <v>596</v>
          </cell>
          <cell r="G63">
            <v>2079625.5297546387</v>
          </cell>
          <cell r="H63">
            <v>8.8068533357615695E-3</v>
          </cell>
          <cell r="I63">
            <v>91</v>
          </cell>
          <cell r="J63">
            <v>5.8123669887989093</v>
          </cell>
          <cell r="K63">
            <v>1.9748391432257275</v>
          </cell>
          <cell r="L63">
            <v>1.7652962324402386</v>
          </cell>
          <cell r="M63">
            <v>0.99652187968377692</v>
          </cell>
          <cell r="N63">
            <v>1994.6302871120699</v>
          </cell>
        </row>
      </sheetData>
      <sheetData sheetId="15"/>
      <sheetData sheetId="16"/>
      <sheetData sheetId="17"/>
      <sheetData sheetId="18">
        <row r="23">
          <cell r="B23">
            <v>0.19698387922912527</v>
          </cell>
        </row>
      </sheetData>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sheetPr codeName="Sheet9">
    <tabColor rgb="FF92D050"/>
  </sheetPr>
  <dimension ref="A1:I60"/>
  <sheetViews>
    <sheetView workbookViewId="0">
      <selection activeCell="B21" sqref="B21:D21"/>
    </sheetView>
  </sheetViews>
  <sheetFormatPr defaultRowHeight="12.75"/>
  <cols>
    <col min="1" max="2" width="22.28515625" customWidth="1"/>
    <col min="3" max="3" width="36" customWidth="1"/>
    <col min="4" max="4" width="38.140625" customWidth="1"/>
    <col min="5" max="5" width="34.140625" customWidth="1"/>
    <col min="6" max="6" width="35.85546875" customWidth="1"/>
    <col min="7" max="7" width="41.28515625" customWidth="1"/>
    <col min="8" max="8" width="35.85546875" customWidth="1"/>
    <col min="9" max="9" width="41.28515625" customWidth="1"/>
  </cols>
  <sheetData>
    <row r="1" spans="1:9">
      <c r="A1" s="361" t="s">
        <v>140</v>
      </c>
      <c r="B1" s="361"/>
      <c r="C1" s="361"/>
      <c r="D1" s="38"/>
      <c r="E1" s="39"/>
      <c r="F1" s="39"/>
      <c r="G1" s="40"/>
      <c r="H1" s="40"/>
      <c r="I1" s="40"/>
    </row>
    <row r="2" spans="1:9">
      <c r="A2" s="41"/>
      <c r="B2" s="41"/>
      <c r="C2" s="41"/>
      <c r="D2" s="41"/>
      <c r="E2" s="41"/>
      <c r="F2" s="41"/>
      <c r="G2" s="41"/>
      <c r="H2" s="41"/>
      <c r="I2" s="41"/>
    </row>
    <row r="3" spans="1:9">
      <c r="A3" s="362" t="s">
        <v>141</v>
      </c>
      <c r="B3" s="363"/>
      <c r="C3" s="363"/>
      <c r="D3" s="364"/>
      <c r="E3" s="42"/>
      <c r="F3" s="42"/>
      <c r="G3" s="41"/>
      <c r="H3" s="41"/>
      <c r="I3" s="41"/>
    </row>
    <row r="4" spans="1:9">
      <c r="A4" s="43" t="s">
        <v>105</v>
      </c>
      <c r="B4" s="358"/>
      <c r="C4" s="359"/>
      <c r="D4" s="360"/>
      <c r="E4" s="42"/>
      <c r="F4" s="42"/>
      <c r="G4" s="41"/>
      <c r="H4" s="41"/>
      <c r="I4" s="41"/>
    </row>
    <row r="5" spans="1:9">
      <c r="A5" s="43" t="s">
        <v>106</v>
      </c>
      <c r="B5" s="365"/>
      <c r="C5" s="366"/>
      <c r="D5" s="367"/>
      <c r="E5" s="42"/>
      <c r="F5" s="42"/>
      <c r="G5" s="41"/>
      <c r="H5" s="41"/>
      <c r="I5" s="41"/>
    </row>
    <row r="6" spans="1:9">
      <c r="A6" s="44" t="s">
        <v>139</v>
      </c>
      <c r="B6" s="358"/>
      <c r="C6" s="359"/>
      <c r="D6" s="360"/>
      <c r="E6" s="42"/>
      <c r="F6" s="42"/>
      <c r="G6" s="41"/>
      <c r="H6" s="41"/>
      <c r="I6" s="41"/>
    </row>
    <row r="7" spans="1:9">
      <c r="A7" s="44" t="s">
        <v>142</v>
      </c>
      <c r="B7" s="358"/>
      <c r="C7" s="359"/>
      <c r="D7" s="360"/>
      <c r="E7" s="42"/>
      <c r="F7" s="42"/>
      <c r="G7" s="41"/>
      <c r="H7" s="41"/>
      <c r="I7" s="41"/>
    </row>
    <row r="8" spans="1:9">
      <c r="A8" s="44" t="s">
        <v>143</v>
      </c>
      <c r="B8" s="358"/>
      <c r="C8" s="359"/>
      <c r="D8" s="360"/>
      <c r="E8" s="42"/>
      <c r="F8" s="42"/>
      <c r="G8" s="41"/>
      <c r="H8" s="41"/>
      <c r="I8" s="41"/>
    </row>
    <row r="9" spans="1:9">
      <c r="A9" s="44" t="s">
        <v>144</v>
      </c>
      <c r="B9" s="358"/>
      <c r="C9" s="359"/>
      <c r="D9" s="360"/>
      <c r="E9" s="42"/>
      <c r="F9" s="42"/>
      <c r="G9" s="41"/>
      <c r="H9" s="41"/>
      <c r="I9" s="41"/>
    </row>
    <row r="10" spans="1:9">
      <c r="A10" s="44" t="s">
        <v>67</v>
      </c>
      <c r="B10" s="358"/>
      <c r="C10" s="359"/>
      <c r="D10" s="360"/>
      <c r="E10" s="42"/>
      <c r="F10" s="42"/>
      <c r="G10" s="41"/>
      <c r="H10" s="41"/>
      <c r="I10" s="41"/>
    </row>
    <row r="11" spans="1:9">
      <c r="A11" s="44" t="s">
        <v>145</v>
      </c>
      <c r="B11" s="358"/>
      <c r="C11" s="359"/>
      <c r="D11" s="360"/>
      <c r="E11" s="42"/>
      <c r="F11" s="42"/>
      <c r="G11" s="41"/>
      <c r="H11" s="41"/>
      <c r="I11" s="41"/>
    </row>
    <row r="12" spans="1:9">
      <c r="A12" s="44" t="s">
        <v>146</v>
      </c>
      <c r="B12" s="368"/>
      <c r="C12" s="369"/>
      <c r="D12" s="370"/>
      <c r="E12" s="42"/>
      <c r="F12" s="42"/>
      <c r="G12" s="41"/>
      <c r="H12" s="41"/>
      <c r="I12" s="41"/>
    </row>
    <row r="13" spans="1:9">
      <c r="A13" s="44" t="s">
        <v>147</v>
      </c>
      <c r="B13" s="368"/>
      <c r="C13" s="369"/>
      <c r="D13" s="370"/>
      <c r="E13" s="42"/>
      <c r="F13" s="42"/>
      <c r="G13" s="41"/>
      <c r="H13" s="41"/>
      <c r="I13" s="41"/>
    </row>
    <row r="14" spans="1:9">
      <c r="A14" s="44" t="s">
        <v>115</v>
      </c>
      <c r="B14" s="358" t="str">
        <f ca="1">MID(CELL("filename"),SEARCH("[",CELL("filename"))+1, SEARCH("]",CELL("filename"))-SEARCH("[",CELL("filename"))-1)</f>
        <v>ProCost_BatchRunner_v1.4.xlsm</v>
      </c>
      <c r="C14" s="359"/>
      <c r="D14" s="360"/>
      <c r="E14" s="42"/>
      <c r="F14" s="42"/>
      <c r="G14" s="41"/>
      <c r="H14" s="41"/>
      <c r="I14" s="41"/>
    </row>
    <row r="15" spans="1:9">
      <c r="A15" s="43" t="s">
        <v>116</v>
      </c>
      <c r="B15" s="358" t="s">
        <v>117</v>
      </c>
      <c r="C15" s="359"/>
      <c r="D15" s="360"/>
      <c r="E15" s="42"/>
      <c r="F15" s="42"/>
      <c r="G15" s="41"/>
      <c r="H15" s="41"/>
      <c r="I15" s="41"/>
    </row>
    <row r="16" spans="1:9" ht="25.5">
      <c r="A16" s="44" t="s">
        <v>148</v>
      </c>
      <c r="B16" s="358" t="str">
        <f>COUNTIF(MeasureTable!C8:C296,"*")&amp;" measure application defined by..."</f>
        <v>0 measure application defined by...</v>
      </c>
      <c r="C16" s="359"/>
      <c r="D16" s="360"/>
      <c r="E16" s="42"/>
      <c r="F16" s="42"/>
      <c r="G16" s="41"/>
      <c r="H16" s="41"/>
      <c r="I16" s="41"/>
    </row>
    <row r="17" spans="1:9">
      <c r="A17" s="45"/>
      <c r="B17" s="45"/>
      <c r="C17" s="46"/>
      <c r="D17" s="42"/>
      <c r="E17" s="42"/>
      <c r="F17" s="42"/>
      <c r="G17" s="41"/>
      <c r="H17" s="41"/>
      <c r="I17" s="41"/>
    </row>
    <row r="18" spans="1:9">
      <c r="A18" s="47" t="s">
        <v>107</v>
      </c>
      <c r="B18" s="48"/>
      <c r="C18" s="48"/>
      <c r="D18" s="48"/>
      <c r="E18" s="48"/>
      <c r="F18" s="48"/>
      <c r="G18" s="41"/>
      <c r="H18" s="41"/>
      <c r="I18" s="41"/>
    </row>
    <row r="19" spans="1:9">
      <c r="A19" s="47" t="s">
        <v>108</v>
      </c>
      <c r="B19" s="352" t="s">
        <v>109</v>
      </c>
      <c r="C19" s="353"/>
      <c r="D19" s="354"/>
      <c r="E19" s="355" t="s">
        <v>110</v>
      </c>
      <c r="F19" s="355"/>
      <c r="G19" s="41"/>
      <c r="H19" s="41"/>
      <c r="I19" s="41"/>
    </row>
    <row r="20" spans="1:9">
      <c r="A20" s="49"/>
      <c r="B20" s="343"/>
      <c r="C20" s="344"/>
      <c r="D20" s="345"/>
      <c r="E20" s="356"/>
      <c r="F20" s="356"/>
      <c r="G20" s="41"/>
      <c r="H20" s="41"/>
      <c r="I20" s="41"/>
    </row>
    <row r="21" spans="1:9">
      <c r="A21" s="49"/>
      <c r="B21" s="343"/>
      <c r="C21" s="344"/>
      <c r="D21" s="345"/>
      <c r="E21" s="357"/>
      <c r="F21" s="357"/>
      <c r="G21" s="41"/>
      <c r="H21" s="41"/>
      <c r="I21" s="41"/>
    </row>
    <row r="22" spans="1:9">
      <c r="A22" s="49"/>
      <c r="B22" s="343"/>
      <c r="C22" s="344"/>
      <c r="D22" s="345"/>
      <c r="E22" s="327"/>
      <c r="F22" s="329"/>
      <c r="G22" s="41"/>
      <c r="H22" s="41"/>
      <c r="I22" s="41"/>
    </row>
    <row r="23" spans="1:9">
      <c r="A23" s="45"/>
      <c r="B23" s="45"/>
      <c r="C23" s="46"/>
      <c r="D23" s="42"/>
      <c r="E23" s="42"/>
      <c r="F23" s="42"/>
      <c r="G23" s="41"/>
      <c r="H23" s="41"/>
      <c r="I23" s="41"/>
    </row>
    <row r="24" spans="1:9">
      <c r="A24" s="50" t="s">
        <v>111</v>
      </c>
      <c r="B24" s="51"/>
      <c r="C24" s="51"/>
      <c r="D24" s="51"/>
      <c r="E24" s="51"/>
      <c r="F24" s="51"/>
      <c r="G24" s="41"/>
      <c r="H24" s="41"/>
      <c r="I24" s="41"/>
    </row>
    <row r="25" spans="1:9">
      <c r="A25" s="52" t="s">
        <v>112</v>
      </c>
      <c r="B25" s="346" t="s">
        <v>109</v>
      </c>
      <c r="C25" s="347"/>
      <c r="D25" s="348"/>
      <c r="E25" s="349" t="s">
        <v>110</v>
      </c>
      <c r="F25" s="349"/>
      <c r="G25" s="41"/>
      <c r="H25" s="41"/>
      <c r="I25" s="41"/>
    </row>
    <row r="26" spans="1:9">
      <c r="A26" s="53"/>
      <c r="B26" s="327"/>
      <c r="C26" s="328"/>
      <c r="D26" s="329"/>
      <c r="E26" s="350"/>
      <c r="F26" s="351"/>
      <c r="G26" s="40"/>
      <c r="H26" s="40"/>
      <c r="I26" s="40"/>
    </row>
    <row r="27" spans="1:9">
      <c r="A27" s="53"/>
      <c r="B27" s="327"/>
      <c r="C27" s="328"/>
      <c r="D27" s="329"/>
      <c r="E27" s="340"/>
      <c r="F27" s="341"/>
      <c r="G27" s="40"/>
      <c r="H27" s="40"/>
      <c r="I27" s="40"/>
    </row>
    <row r="28" spans="1:9">
      <c r="A28" s="54"/>
      <c r="B28" s="327"/>
      <c r="C28" s="328"/>
      <c r="D28" s="329"/>
      <c r="E28" s="330"/>
      <c r="F28" s="342"/>
      <c r="G28" s="40"/>
      <c r="H28" s="40"/>
      <c r="I28" s="40"/>
    </row>
    <row r="29" spans="1:9">
      <c r="A29" s="55"/>
      <c r="B29" s="327"/>
      <c r="C29" s="328"/>
      <c r="D29" s="329"/>
      <c r="E29" s="330"/>
      <c r="F29" s="342"/>
      <c r="G29" s="40"/>
      <c r="H29" s="40"/>
      <c r="I29" s="40"/>
    </row>
    <row r="30" spans="1:9">
      <c r="A30" s="56"/>
      <c r="B30" s="327"/>
      <c r="C30" s="328"/>
      <c r="D30" s="329"/>
      <c r="E30" s="330"/>
      <c r="F30" s="330"/>
      <c r="G30" s="41"/>
      <c r="H30" s="41"/>
      <c r="I30" s="41"/>
    </row>
    <row r="31" spans="1:9">
      <c r="A31" s="56"/>
      <c r="B31" s="327"/>
      <c r="C31" s="328"/>
      <c r="D31" s="329"/>
      <c r="E31" s="330"/>
      <c r="F31" s="330"/>
      <c r="G31" s="41"/>
      <c r="H31" s="41"/>
      <c r="I31" s="41"/>
    </row>
    <row r="32" spans="1:9">
      <c r="A32" s="45"/>
      <c r="B32" s="45"/>
      <c r="C32" s="46"/>
      <c r="D32" s="42"/>
      <c r="E32" s="42"/>
      <c r="F32" s="42"/>
      <c r="G32" s="41"/>
      <c r="H32" s="41"/>
      <c r="I32" s="41"/>
    </row>
    <row r="33" spans="1:9">
      <c r="A33" s="57" t="s">
        <v>149</v>
      </c>
      <c r="B33" s="58"/>
      <c r="C33" s="59"/>
      <c r="D33" s="60"/>
      <c r="E33" s="60"/>
      <c r="F33" s="60"/>
      <c r="G33" s="61"/>
      <c r="H33" s="60"/>
      <c r="I33" s="61"/>
    </row>
    <row r="34" spans="1:9" ht="25.5">
      <c r="A34" s="62" t="s">
        <v>107</v>
      </c>
      <c r="B34" s="62" t="s">
        <v>150</v>
      </c>
      <c r="C34" s="62" t="s">
        <v>113</v>
      </c>
      <c r="D34" s="62" t="s">
        <v>114</v>
      </c>
      <c r="E34" s="62" t="s">
        <v>143</v>
      </c>
      <c r="F34" s="62" t="s">
        <v>151</v>
      </c>
      <c r="G34" s="62" t="s">
        <v>152</v>
      </c>
      <c r="H34" s="62" t="s">
        <v>153</v>
      </c>
      <c r="I34" s="62" t="s">
        <v>154</v>
      </c>
    </row>
    <row r="35" spans="1:9">
      <c r="A35" s="331"/>
      <c r="B35" s="334"/>
      <c r="C35" s="337"/>
      <c r="D35" s="331"/>
      <c r="E35" s="331">
        <f>B8</f>
        <v>0</v>
      </c>
      <c r="F35" s="63"/>
      <c r="G35" s="63"/>
      <c r="H35" s="312"/>
      <c r="I35" s="312"/>
    </row>
    <row r="36" spans="1:9">
      <c r="A36" s="332"/>
      <c r="B36" s="335"/>
      <c r="C36" s="338"/>
      <c r="D36" s="332"/>
      <c r="E36" s="332"/>
      <c r="F36" s="64"/>
      <c r="G36" s="64"/>
      <c r="H36" s="313"/>
      <c r="I36" s="313"/>
    </row>
    <row r="37" spans="1:9">
      <c r="A37" s="333"/>
      <c r="B37" s="336"/>
      <c r="C37" s="339"/>
      <c r="D37" s="333"/>
      <c r="E37" s="333"/>
      <c r="F37" s="65"/>
      <c r="G37" s="65"/>
      <c r="H37" s="314"/>
      <c r="I37" s="314"/>
    </row>
    <row r="38" spans="1:9">
      <c r="A38" s="45"/>
      <c r="B38" s="45"/>
      <c r="C38" s="46"/>
      <c r="D38" s="42"/>
      <c r="E38" s="42"/>
      <c r="F38" s="42"/>
      <c r="G38" s="41"/>
      <c r="H38" s="41"/>
      <c r="I38" s="41"/>
    </row>
    <row r="39" spans="1:9">
      <c r="A39" s="66" t="s">
        <v>155</v>
      </c>
      <c r="B39" s="67"/>
      <c r="C39" s="42"/>
      <c r="D39" s="42"/>
      <c r="E39" s="42"/>
      <c r="F39" s="42"/>
      <c r="G39" s="41"/>
      <c r="H39" s="41"/>
      <c r="I39" s="41"/>
    </row>
    <row r="40" spans="1:9">
      <c r="A40" s="68" t="s">
        <v>107</v>
      </c>
      <c r="B40" s="68" t="s">
        <v>156</v>
      </c>
      <c r="C40" s="68" t="s">
        <v>157</v>
      </c>
      <c r="D40" s="68" t="s">
        <v>143</v>
      </c>
      <c r="E40" s="69" t="s">
        <v>158</v>
      </c>
      <c r="F40" s="70" t="s">
        <v>159</v>
      </c>
      <c r="G40" s="69" t="s">
        <v>160</v>
      </c>
      <c r="H40" s="71" t="s">
        <v>161</v>
      </c>
      <c r="I40" s="41"/>
    </row>
    <row r="41" spans="1:9">
      <c r="A41" s="315" t="s">
        <v>162</v>
      </c>
      <c r="B41" s="318" t="s">
        <v>163</v>
      </c>
      <c r="C41" s="296"/>
      <c r="D41" s="321">
        <f>B8</f>
        <v>0</v>
      </c>
      <c r="E41" s="72"/>
      <c r="F41" s="73"/>
      <c r="G41" s="324"/>
      <c r="H41" s="324" t="s">
        <v>164</v>
      </c>
      <c r="I41" s="41"/>
    </row>
    <row r="42" spans="1:9">
      <c r="A42" s="316"/>
      <c r="B42" s="319"/>
      <c r="C42" s="297"/>
      <c r="D42" s="322"/>
      <c r="E42" s="74"/>
      <c r="F42" s="75"/>
      <c r="G42" s="325"/>
      <c r="H42" s="325"/>
      <c r="I42" s="41"/>
    </row>
    <row r="43" spans="1:9">
      <c r="A43" s="317"/>
      <c r="B43" s="320"/>
      <c r="C43" s="298"/>
      <c r="D43" s="322"/>
      <c r="E43" s="76"/>
      <c r="F43" s="77"/>
      <c r="G43" s="326"/>
      <c r="H43" s="326"/>
      <c r="I43" s="41"/>
    </row>
    <row r="44" spans="1:9">
      <c r="A44" s="309" t="s">
        <v>162</v>
      </c>
      <c r="B44" s="293" t="s">
        <v>165</v>
      </c>
      <c r="C44" s="296"/>
      <c r="D44" s="322"/>
      <c r="E44" s="76"/>
      <c r="F44" s="77"/>
      <c r="G44" s="303"/>
      <c r="H44" s="306" t="s">
        <v>164</v>
      </c>
      <c r="I44" s="78"/>
    </row>
    <row r="45" spans="1:9">
      <c r="A45" s="310"/>
      <c r="B45" s="294"/>
      <c r="C45" s="297"/>
      <c r="D45" s="322"/>
      <c r="E45" s="76"/>
      <c r="F45" s="77"/>
      <c r="G45" s="304"/>
      <c r="H45" s="307"/>
      <c r="I45" s="78"/>
    </row>
    <row r="46" spans="1:9">
      <c r="A46" s="311"/>
      <c r="B46" s="295"/>
      <c r="C46" s="298"/>
      <c r="D46" s="322"/>
      <c r="E46" s="76"/>
      <c r="F46" s="77"/>
      <c r="G46" s="305"/>
      <c r="H46" s="308"/>
      <c r="I46" s="78"/>
    </row>
    <row r="47" spans="1:9">
      <c r="A47" s="309" t="s">
        <v>162</v>
      </c>
      <c r="B47" s="293" t="s">
        <v>166</v>
      </c>
      <c r="C47" s="296"/>
      <c r="D47" s="322"/>
      <c r="E47" s="76"/>
      <c r="F47" s="77"/>
      <c r="G47" s="303"/>
      <c r="H47" s="306" t="s">
        <v>164</v>
      </c>
      <c r="I47" s="78"/>
    </row>
    <row r="48" spans="1:9">
      <c r="A48" s="310"/>
      <c r="B48" s="294"/>
      <c r="C48" s="297"/>
      <c r="D48" s="322"/>
      <c r="E48" s="76"/>
      <c r="F48" s="77"/>
      <c r="G48" s="304"/>
      <c r="H48" s="307"/>
      <c r="I48" s="78"/>
    </row>
    <row r="49" spans="1:9">
      <c r="A49" s="311"/>
      <c r="B49" s="295"/>
      <c r="C49" s="298"/>
      <c r="D49" s="322"/>
      <c r="E49" s="76"/>
      <c r="F49" s="77"/>
      <c r="G49" s="305"/>
      <c r="H49" s="308"/>
      <c r="I49" s="78"/>
    </row>
    <row r="50" spans="1:9">
      <c r="A50" s="309" t="s">
        <v>162</v>
      </c>
      <c r="B50" s="293" t="s">
        <v>167</v>
      </c>
      <c r="C50" s="296"/>
      <c r="D50" s="322"/>
      <c r="E50" s="76"/>
      <c r="F50" s="77"/>
      <c r="G50" s="303"/>
      <c r="H50" s="306" t="s">
        <v>164</v>
      </c>
      <c r="I50" s="78"/>
    </row>
    <row r="51" spans="1:9">
      <c r="A51" s="310"/>
      <c r="B51" s="294"/>
      <c r="C51" s="297"/>
      <c r="D51" s="322"/>
      <c r="E51" s="76"/>
      <c r="F51" s="77"/>
      <c r="G51" s="304"/>
      <c r="H51" s="307"/>
      <c r="I51" s="78"/>
    </row>
    <row r="52" spans="1:9">
      <c r="A52" s="311"/>
      <c r="B52" s="295"/>
      <c r="C52" s="298"/>
      <c r="D52" s="322"/>
      <c r="E52" s="76"/>
      <c r="F52" s="77"/>
      <c r="G52" s="305"/>
      <c r="H52" s="308"/>
      <c r="I52" s="78"/>
    </row>
    <row r="53" spans="1:9" ht="25.5">
      <c r="A53" s="79" t="s">
        <v>162</v>
      </c>
      <c r="B53" s="80" t="s">
        <v>168</v>
      </c>
      <c r="C53" s="81"/>
      <c r="D53" s="323"/>
      <c r="E53" s="82"/>
      <c r="F53" s="83"/>
      <c r="G53" s="84"/>
      <c r="H53" s="85"/>
      <c r="I53" s="78"/>
    </row>
    <row r="54" spans="1:9">
      <c r="A54" s="86"/>
      <c r="B54" s="87"/>
      <c r="C54" s="87"/>
      <c r="D54" s="88"/>
      <c r="E54" s="89"/>
      <c r="F54" s="89"/>
      <c r="G54" s="90"/>
      <c r="H54" s="91"/>
      <c r="I54" s="78"/>
    </row>
    <row r="55" spans="1:9">
      <c r="A55" s="92" t="s">
        <v>169</v>
      </c>
      <c r="B55" s="78"/>
      <c r="C55" s="78"/>
      <c r="D55" s="78"/>
      <c r="E55" s="78"/>
      <c r="F55" s="78"/>
      <c r="G55" s="78"/>
      <c r="H55" s="93"/>
      <c r="I55" s="78"/>
    </row>
    <row r="56" spans="1:9">
      <c r="A56" s="94" t="s">
        <v>107</v>
      </c>
      <c r="B56" s="94"/>
      <c r="C56" s="94" t="s">
        <v>157</v>
      </c>
      <c r="D56" s="95" t="s">
        <v>143</v>
      </c>
      <c r="E56" s="94" t="s">
        <v>158</v>
      </c>
      <c r="F56" s="96"/>
      <c r="G56" s="94"/>
      <c r="H56" s="97" t="s">
        <v>161</v>
      </c>
      <c r="I56" s="78"/>
    </row>
    <row r="57" spans="1:9">
      <c r="A57" s="293" t="s">
        <v>162</v>
      </c>
      <c r="B57" s="98"/>
      <c r="C57" s="296"/>
      <c r="D57" s="299">
        <f>B8</f>
        <v>0</v>
      </c>
      <c r="E57" s="99"/>
      <c r="F57" s="100"/>
      <c r="G57" s="101"/>
      <c r="H57" s="302" t="s">
        <v>164</v>
      </c>
      <c r="I57" s="78"/>
    </row>
    <row r="58" spans="1:9">
      <c r="A58" s="294"/>
      <c r="B58" s="102"/>
      <c r="C58" s="297"/>
      <c r="D58" s="300"/>
      <c r="E58" s="99"/>
      <c r="F58" s="100"/>
      <c r="G58" s="103"/>
      <c r="H58" s="302"/>
      <c r="I58" s="78"/>
    </row>
    <row r="59" spans="1:9">
      <c r="A59" s="294"/>
      <c r="B59" s="102"/>
      <c r="C59" s="297"/>
      <c r="D59" s="300"/>
      <c r="E59" s="99"/>
      <c r="F59" s="100"/>
      <c r="G59" s="103"/>
      <c r="H59" s="302"/>
      <c r="I59" s="78"/>
    </row>
    <row r="60" spans="1:9">
      <c r="A60" s="295"/>
      <c r="B60" s="104"/>
      <c r="C60" s="298"/>
      <c r="D60" s="301"/>
      <c r="E60" s="99"/>
      <c r="F60" s="105"/>
      <c r="G60" s="106"/>
      <c r="H60" s="302"/>
      <c r="I60" s="78"/>
    </row>
  </sheetData>
  <mergeCells count="69">
    <mergeCell ref="B16:D16"/>
    <mergeCell ref="A1:C1"/>
    <mergeCell ref="A3:D3"/>
    <mergeCell ref="B7:D7"/>
    <mergeCell ref="B8:D8"/>
    <mergeCell ref="B9:D9"/>
    <mergeCell ref="B10:D10"/>
    <mergeCell ref="B4:D4"/>
    <mergeCell ref="B5:D5"/>
    <mergeCell ref="B6:D6"/>
    <mergeCell ref="B11:D11"/>
    <mergeCell ref="B12:D12"/>
    <mergeCell ref="B13:D13"/>
    <mergeCell ref="B14:D14"/>
    <mergeCell ref="B15:D15"/>
    <mergeCell ref="B19:D19"/>
    <mergeCell ref="E19:F19"/>
    <mergeCell ref="B20:D20"/>
    <mergeCell ref="E20:F20"/>
    <mergeCell ref="B21:D21"/>
    <mergeCell ref="E21:F21"/>
    <mergeCell ref="B22:D22"/>
    <mergeCell ref="E22:F22"/>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A35:A37"/>
    <mergeCell ref="B35:B37"/>
    <mergeCell ref="C35:C37"/>
    <mergeCell ref="D35:D37"/>
    <mergeCell ref="E35:E37"/>
    <mergeCell ref="H35:H37"/>
    <mergeCell ref="I35:I37"/>
    <mergeCell ref="A41:A43"/>
    <mergeCell ref="B41:B43"/>
    <mergeCell ref="C41:C43"/>
    <mergeCell ref="D41:D53"/>
    <mergeCell ref="G41:G43"/>
    <mergeCell ref="H41:H43"/>
    <mergeCell ref="A44:A46"/>
    <mergeCell ref="B44:B46"/>
    <mergeCell ref="H50:H52"/>
    <mergeCell ref="A57:A60"/>
    <mergeCell ref="C57:C60"/>
    <mergeCell ref="D57:D60"/>
    <mergeCell ref="H57:H60"/>
    <mergeCell ref="C44:C46"/>
    <mergeCell ref="G44:G46"/>
    <mergeCell ref="H44:H46"/>
    <mergeCell ref="A47:A49"/>
    <mergeCell ref="B47:B49"/>
    <mergeCell ref="C47:C49"/>
    <mergeCell ref="G47:G49"/>
    <mergeCell ref="H47:H49"/>
    <mergeCell ref="A50:A52"/>
    <mergeCell ref="B50:B52"/>
    <mergeCell ref="C50:C52"/>
    <mergeCell ref="G50:G52"/>
  </mergeCells>
  <dataValidations count="6">
    <dataValidation type="list" allowBlank="1" showInputMessage="1" showErrorMessage="1" sqref="B8">
      <formula1>Baseline</formula1>
    </dataValidation>
    <dataValidation type="list" allowBlank="1" showInputMessage="1" showErrorMessage="1" sqref="B11">
      <formula1>Procedure</formula1>
    </dataValidation>
    <dataValidation type="list" allowBlank="1" showInputMessage="1" showErrorMessage="1" sqref="B10">
      <formula1>Category</formula1>
    </dataValidation>
    <dataValidation type="list" allowBlank="1" showInputMessage="1" showErrorMessage="1" sqref="B9">
      <formula1>Method</formula1>
    </dataValidation>
    <dataValidation type="list" allowBlank="1" showInputMessage="1" showErrorMessage="1" sqref="F57:F60">
      <formula1>LifetimeDataSourceTypes</formula1>
    </dataValidation>
    <dataValidation type="list" allowBlank="1" showInputMessage="1" showErrorMessage="1" sqref="F41:F53">
      <formula1>CostDataSourceTypes</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codeName="Sheet5">
    <tabColor rgb="FFFFC000"/>
  </sheetPr>
  <dimension ref="A1:AD190"/>
  <sheetViews>
    <sheetView workbookViewId="0">
      <selection activeCell="C16" sqref="C16"/>
    </sheetView>
  </sheetViews>
  <sheetFormatPr defaultRowHeight="12.75"/>
  <cols>
    <col min="1" max="1" width="65.140625" bestFit="1" customWidth="1"/>
    <col min="2" max="2" width="14.140625" customWidth="1"/>
    <col min="3" max="3" width="22" customWidth="1"/>
    <col min="4" max="4" width="30" customWidth="1"/>
    <col min="5" max="5" width="27.5703125" customWidth="1"/>
    <col min="6" max="6" width="12.42578125" customWidth="1"/>
    <col min="7" max="7" width="20" customWidth="1"/>
    <col min="8" max="8" width="14.42578125" customWidth="1"/>
    <col min="9" max="9" width="16.140625" customWidth="1"/>
    <col min="10" max="10" width="16" customWidth="1"/>
    <col min="11" max="11" width="15.28515625" customWidth="1"/>
    <col min="12" max="12" width="37.140625" customWidth="1"/>
    <col min="13" max="13" width="28.28515625" customWidth="1"/>
    <col min="14" max="14" width="30.140625" customWidth="1"/>
    <col min="15" max="16" width="82.5703125" customWidth="1"/>
    <col min="21" max="21" width="22.7109375" bestFit="1" customWidth="1"/>
    <col min="22" max="22" width="25.85546875" bestFit="1" customWidth="1"/>
    <col min="23" max="23" width="44" bestFit="1" customWidth="1"/>
    <col min="24" max="24" width="61.7109375" bestFit="1" customWidth="1"/>
    <col min="25" max="25" width="18.85546875" customWidth="1"/>
    <col min="26" max="26" width="18.28515625" customWidth="1"/>
    <col min="27" max="27" width="43.7109375" bestFit="1" customWidth="1"/>
    <col min="28" max="28" width="44.85546875" bestFit="1" customWidth="1"/>
    <col min="29" max="29" width="14.85546875" bestFit="1" customWidth="1"/>
    <col min="30" max="30" width="45" bestFit="1" customWidth="1"/>
  </cols>
  <sheetData>
    <row r="1" spans="1:30" ht="13.5" thickBot="1">
      <c r="A1" s="119">
        <v>1</v>
      </c>
      <c r="B1" s="119">
        <v>2</v>
      </c>
      <c r="C1" s="119">
        <v>3</v>
      </c>
      <c r="D1" s="119">
        <v>4</v>
      </c>
      <c r="E1" s="119">
        <v>5</v>
      </c>
      <c r="F1" s="119">
        <v>6</v>
      </c>
      <c r="G1" s="119">
        <v>7</v>
      </c>
      <c r="H1" s="119">
        <v>8</v>
      </c>
      <c r="I1" s="119">
        <v>16</v>
      </c>
      <c r="J1" s="119">
        <v>17</v>
      </c>
      <c r="K1" s="119">
        <v>18</v>
      </c>
      <c r="L1" s="119">
        <v>19</v>
      </c>
      <c r="M1" s="119">
        <v>20</v>
      </c>
      <c r="N1" s="119">
        <v>21</v>
      </c>
      <c r="O1" s="119">
        <v>22</v>
      </c>
      <c r="P1" s="119">
        <v>23</v>
      </c>
      <c r="Q1" s="119"/>
      <c r="R1" s="34"/>
      <c r="S1" s="34"/>
      <c r="T1" s="34"/>
      <c r="U1" s="23" t="s">
        <v>219</v>
      </c>
      <c r="V1" s="34"/>
      <c r="W1" s="34"/>
      <c r="X1" s="34"/>
      <c r="Y1" s="34"/>
      <c r="Z1" s="34"/>
      <c r="AA1" s="34"/>
      <c r="AB1" s="34"/>
      <c r="AC1" s="34"/>
      <c r="AD1" s="34"/>
    </row>
    <row r="2" spans="1:30" ht="39" thickBot="1">
      <c r="A2" s="120" t="s">
        <v>104</v>
      </c>
      <c r="B2" s="120" t="s">
        <v>94</v>
      </c>
      <c r="C2" s="120" t="s">
        <v>217</v>
      </c>
      <c r="D2" s="120" t="s">
        <v>67</v>
      </c>
      <c r="E2" s="120" t="s">
        <v>218</v>
      </c>
      <c r="F2" s="120" t="s">
        <v>98</v>
      </c>
      <c r="G2" s="120" t="s">
        <v>211</v>
      </c>
      <c r="H2" s="120" t="s">
        <v>212</v>
      </c>
      <c r="I2" s="120" t="s">
        <v>95</v>
      </c>
      <c r="J2" s="120" t="s">
        <v>96</v>
      </c>
      <c r="K2" s="120" t="s">
        <v>97</v>
      </c>
      <c r="L2" s="120" t="s">
        <v>80</v>
      </c>
      <c r="M2" s="120" t="s">
        <v>213</v>
      </c>
      <c r="N2" s="120" t="s">
        <v>214</v>
      </c>
      <c r="O2" s="120" t="s">
        <v>79</v>
      </c>
      <c r="P2" s="121" t="s">
        <v>89</v>
      </c>
      <c r="Q2" s="34"/>
      <c r="R2" s="34"/>
      <c r="S2" s="34"/>
      <c r="T2" s="34"/>
      <c r="U2" s="122" t="s">
        <v>220</v>
      </c>
      <c r="V2" s="122" t="s">
        <v>221</v>
      </c>
      <c r="W2" s="122" t="s">
        <v>19</v>
      </c>
      <c r="X2" s="122" t="s">
        <v>222</v>
      </c>
      <c r="Y2" s="122" t="s">
        <v>211</v>
      </c>
      <c r="Z2" s="122" t="s">
        <v>212</v>
      </c>
      <c r="AA2" s="122" t="s">
        <v>95</v>
      </c>
      <c r="AB2" s="122" t="s">
        <v>96</v>
      </c>
      <c r="AC2" s="122" t="s">
        <v>97</v>
      </c>
      <c r="AD2" s="122" t="s">
        <v>223</v>
      </c>
    </row>
    <row r="3" spans="1:30" ht="25.5">
      <c r="A3" s="123" t="s">
        <v>118</v>
      </c>
      <c r="B3" s="124" t="s">
        <v>70</v>
      </c>
      <c r="C3" s="124" t="s">
        <v>242</v>
      </c>
      <c r="D3" s="124" t="s">
        <v>226</v>
      </c>
      <c r="E3" s="124" t="s">
        <v>566</v>
      </c>
      <c r="F3" s="124" t="s">
        <v>186</v>
      </c>
      <c r="G3" s="124" t="s">
        <v>228</v>
      </c>
      <c r="H3" s="124" t="s">
        <v>229</v>
      </c>
      <c r="I3" s="124" t="s">
        <v>230</v>
      </c>
      <c r="J3" s="124" t="s">
        <v>529</v>
      </c>
      <c r="K3" s="124" t="s">
        <v>232</v>
      </c>
      <c r="L3" s="123"/>
      <c r="M3" s="123"/>
      <c r="N3" s="123"/>
      <c r="O3" s="124" t="s">
        <v>233</v>
      </c>
      <c r="P3" s="125" t="s">
        <v>234</v>
      </c>
      <c r="Q3" s="34"/>
      <c r="R3" s="34"/>
      <c r="S3" s="34"/>
      <c r="T3" s="34"/>
      <c r="U3" s="126" t="s">
        <v>224</v>
      </c>
      <c r="V3" s="126" t="s">
        <v>235</v>
      </c>
      <c r="W3" s="126" t="s">
        <v>236</v>
      </c>
      <c r="X3" s="126" t="s">
        <v>237</v>
      </c>
      <c r="Y3" s="127" t="s">
        <v>238</v>
      </c>
      <c r="Z3" s="127" t="s">
        <v>239</v>
      </c>
      <c r="AA3" s="128" t="s">
        <v>240</v>
      </c>
      <c r="AB3" s="129" t="s">
        <v>241</v>
      </c>
      <c r="AC3" s="126" t="s">
        <v>232</v>
      </c>
      <c r="AD3" s="126" t="s">
        <v>233</v>
      </c>
    </row>
    <row r="4" spans="1:30" ht="25.5">
      <c r="A4" s="123" t="s">
        <v>119</v>
      </c>
      <c r="B4" s="124" t="s">
        <v>70</v>
      </c>
      <c r="C4" s="124" t="s">
        <v>259</v>
      </c>
      <c r="D4" s="124" t="s">
        <v>280</v>
      </c>
      <c r="E4" s="124" t="s">
        <v>240</v>
      </c>
      <c r="F4" s="124" t="s">
        <v>179</v>
      </c>
      <c r="G4" s="124" t="s">
        <v>228</v>
      </c>
      <c r="H4" s="124" t="s">
        <v>229</v>
      </c>
      <c r="I4" s="124" t="s">
        <v>230</v>
      </c>
      <c r="J4" s="124" t="s">
        <v>529</v>
      </c>
      <c r="K4" s="124" t="s">
        <v>232</v>
      </c>
      <c r="L4" s="123"/>
      <c r="M4" s="123"/>
      <c r="N4" s="123"/>
      <c r="O4" s="124" t="s">
        <v>233</v>
      </c>
      <c r="P4" s="125"/>
      <c r="Q4" s="34"/>
      <c r="R4" s="34"/>
      <c r="S4" s="34"/>
      <c r="T4" s="34"/>
      <c r="U4" s="126" t="s">
        <v>71</v>
      </c>
      <c r="V4" s="126" t="s">
        <v>242</v>
      </c>
      <c r="W4" s="126" t="s">
        <v>243</v>
      </c>
      <c r="X4" s="126" t="s">
        <v>244</v>
      </c>
      <c r="Y4" s="127" t="s">
        <v>245</v>
      </c>
      <c r="Z4" s="127" t="s">
        <v>246</v>
      </c>
      <c r="AA4" s="126" t="s">
        <v>247</v>
      </c>
      <c r="AB4" s="126" t="s">
        <v>248</v>
      </c>
      <c r="AC4" s="126" t="s">
        <v>249</v>
      </c>
      <c r="AD4" s="126" t="s">
        <v>250</v>
      </c>
    </row>
    <row r="5" spans="1:30">
      <c r="A5" s="123"/>
      <c r="B5" s="124"/>
      <c r="C5" s="124"/>
      <c r="D5" s="124"/>
      <c r="E5" s="124"/>
      <c r="F5" s="124"/>
      <c r="G5" s="124"/>
      <c r="H5" s="124"/>
      <c r="I5" s="124"/>
      <c r="J5" s="124"/>
      <c r="K5" s="124"/>
      <c r="L5" s="123"/>
      <c r="M5" s="123"/>
      <c r="N5" s="123"/>
      <c r="O5" s="124"/>
      <c r="P5" s="125"/>
      <c r="Q5" s="34"/>
      <c r="R5" s="34"/>
      <c r="S5" s="34"/>
      <c r="T5" s="34"/>
      <c r="U5" s="126" t="s">
        <v>72</v>
      </c>
      <c r="V5" s="126" t="s">
        <v>251</v>
      </c>
      <c r="W5" s="126" t="s">
        <v>252</v>
      </c>
      <c r="X5" s="126" t="s">
        <v>253</v>
      </c>
      <c r="Y5" s="127" t="s">
        <v>254</v>
      </c>
      <c r="Z5" s="127" t="s">
        <v>255</v>
      </c>
      <c r="AA5" s="126" t="s">
        <v>256</v>
      </c>
      <c r="AB5" s="129" t="s">
        <v>277</v>
      </c>
      <c r="AC5" s="126" t="s">
        <v>257</v>
      </c>
      <c r="AD5" s="126" t="s">
        <v>258</v>
      </c>
    </row>
    <row r="6" spans="1:30">
      <c r="A6" s="123"/>
      <c r="B6" s="124"/>
      <c r="C6" s="124"/>
      <c r="D6" s="124"/>
      <c r="E6" s="124"/>
      <c r="F6" s="124"/>
      <c r="G6" s="124"/>
      <c r="H6" s="124"/>
      <c r="I6" s="124"/>
      <c r="J6" s="124"/>
      <c r="K6" s="124"/>
      <c r="L6" s="123"/>
      <c r="M6" s="123"/>
      <c r="N6" s="123"/>
      <c r="O6" s="124"/>
      <c r="P6" s="125"/>
      <c r="Q6" s="34"/>
      <c r="R6" s="34"/>
      <c r="S6" s="34"/>
      <c r="T6" s="34"/>
      <c r="U6" s="126" t="s">
        <v>240</v>
      </c>
      <c r="V6" s="126" t="s">
        <v>259</v>
      </c>
      <c r="W6" s="126" t="s">
        <v>260</v>
      </c>
      <c r="X6" s="126" t="s">
        <v>261</v>
      </c>
      <c r="Y6" s="127" t="s">
        <v>228</v>
      </c>
      <c r="Z6" s="127" t="s">
        <v>229</v>
      </c>
      <c r="AA6" s="126" t="s">
        <v>262</v>
      </c>
      <c r="AB6" s="129" t="s">
        <v>296</v>
      </c>
      <c r="AC6" s="128" t="s">
        <v>240</v>
      </c>
      <c r="AD6" s="126" t="s">
        <v>263</v>
      </c>
    </row>
    <row r="7" spans="1:30">
      <c r="A7" s="123"/>
      <c r="B7" s="124"/>
      <c r="C7" s="124"/>
      <c r="D7" s="124"/>
      <c r="E7" s="124"/>
      <c r="F7" s="124"/>
      <c r="G7" s="124"/>
      <c r="H7" s="124"/>
      <c r="I7" s="124"/>
      <c r="J7" s="124"/>
      <c r="K7" s="124"/>
      <c r="L7" s="123"/>
      <c r="M7" s="123"/>
      <c r="N7" s="123"/>
      <c r="O7" s="124"/>
      <c r="P7" s="125"/>
      <c r="Q7" s="34"/>
      <c r="R7" s="34"/>
      <c r="S7" s="34"/>
      <c r="T7" s="34"/>
      <c r="U7" s="126" t="s">
        <v>70</v>
      </c>
      <c r="V7" s="126" t="s">
        <v>225</v>
      </c>
      <c r="W7" s="126" t="s">
        <v>264</v>
      </c>
      <c r="X7" s="126" t="s">
        <v>265</v>
      </c>
      <c r="Y7" s="127" t="s">
        <v>266</v>
      </c>
      <c r="Z7" s="127" t="s">
        <v>267</v>
      </c>
      <c r="AA7" s="126" t="s">
        <v>268</v>
      </c>
      <c r="AB7" s="129" t="s">
        <v>316</v>
      </c>
      <c r="AC7" s="36"/>
      <c r="AD7" s="126" t="s">
        <v>269</v>
      </c>
    </row>
    <row r="8" spans="1:30">
      <c r="A8" s="123"/>
      <c r="B8" s="124"/>
      <c r="C8" s="124"/>
      <c r="D8" s="124"/>
      <c r="E8" s="124"/>
      <c r="F8" s="124"/>
      <c r="G8" s="124"/>
      <c r="H8" s="124"/>
      <c r="I8" s="124"/>
      <c r="J8" s="124"/>
      <c r="K8" s="124"/>
      <c r="L8" s="123"/>
      <c r="M8" s="123"/>
      <c r="N8" s="123"/>
      <c r="O8" s="124"/>
      <c r="P8" s="125"/>
      <c r="Q8" s="34"/>
      <c r="R8" s="34"/>
      <c r="S8" s="34"/>
      <c r="T8" s="34"/>
      <c r="U8" s="126" t="s">
        <v>270</v>
      </c>
      <c r="V8" s="126" t="s">
        <v>271</v>
      </c>
      <c r="W8" s="126" t="s">
        <v>272</v>
      </c>
      <c r="X8" s="126" t="s">
        <v>273</v>
      </c>
      <c r="Y8" s="127" t="s">
        <v>274</v>
      </c>
      <c r="Z8" s="127" t="s">
        <v>275</v>
      </c>
      <c r="AA8" s="126" t="s">
        <v>276</v>
      </c>
      <c r="AB8" s="126" t="s">
        <v>328</v>
      </c>
      <c r="AC8" s="36"/>
      <c r="AD8" s="126" t="s">
        <v>278</v>
      </c>
    </row>
    <row r="9" spans="1:30">
      <c r="A9" s="123"/>
      <c r="B9" s="124"/>
      <c r="C9" s="124"/>
      <c r="D9" s="124"/>
      <c r="E9" s="124"/>
      <c r="F9" s="124"/>
      <c r="G9" s="124"/>
      <c r="H9" s="124"/>
      <c r="I9" s="124"/>
      <c r="J9" s="124"/>
      <c r="K9" s="124"/>
      <c r="L9" s="123"/>
      <c r="M9" s="123"/>
      <c r="N9" s="123"/>
      <c r="O9" s="124"/>
      <c r="P9" s="125"/>
      <c r="Q9" s="34"/>
      <c r="R9" s="34"/>
      <c r="S9" s="34"/>
      <c r="T9" s="34"/>
      <c r="U9" s="36"/>
      <c r="V9" s="126" t="s">
        <v>279</v>
      </c>
      <c r="W9" s="126" t="s">
        <v>280</v>
      </c>
      <c r="X9" s="126" t="s">
        <v>281</v>
      </c>
      <c r="Y9" s="128" t="s">
        <v>240</v>
      </c>
      <c r="Z9" s="128" t="s">
        <v>240</v>
      </c>
      <c r="AA9" s="36" t="s">
        <v>230</v>
      </c>
      <c r="AB9" s="129" t="s">
        <v>337</v>
      </c>
      <c r="AC9" s="36"/>
      <c r="AD9" s="126" t="s">
        <v>282</v>
      </c>
    </row>
    <row r="10" spans="1:30">
      <c r="A10" s="123"/>
      <c r="B10" s="124"/>
      <c r="C10" s="124"/>
      <c r="D10" s="124"/>
      <c r="E10" s="124"/>
      <c r="F10" s="124"/>
      <c r="G10" s="124"/>
      <c r="H10" s="124"/>
      <c r="I10" s="124"/>
      <c r="J10" s="124"/>
      <c r="K10" s="124"/>
      <c r="L10" s="123"/>
      <c r="M10" s="123"/>
      <c r="N10" s="123"/>
      <c r="O10" s="124"/>
      <c r="P10" s="125"/>
      <c r="Q10" s="34"/>
      <c r="R10" s="34"/>
      <c r="S10" s="34"/>
      <c r="T10" s="34"/>
      <c r="U10" s="36"/>
      <c r="V10" s="126" t="s">
        <v>283</v>
      </c>
      <c r="W10" s="126" t="s">
        <v>284</v>
      </c>
      <c r="X10" s="126" t="s">
        <v>285</v>
      </c>
      <c r="Y10" s="36"/>
      <c r="Z10" s="36"/>
      <c r="AA10" s="126" t="s">
        <v>286</v>
      </c>
      <c r="AB10" s="129" t="s">
        <v>346</v>
      </c>
      <c r="AC10" s="36"/>
      <c r="AD10" s="126" t="s">
        <v>287</v>
      </c>
    </row>
    <row r="11" spans="1:30">
      <c r="A11" s="123"/>
      <c r="B11" s="124"/>
      <c r="C11" s="124"/>
      <c r="D11" s="124"/>
      <c r="E11" s="124"/>
      <c r="F11" s="124"/>
      <c r="G11" s="124"/>
      <c r="H11" s="124"/>
      <c r="I11" s="124"/>
      <c r="J11" s="124"/>
      <c r="K11" s="124"/>
      <c r="L11" s="123"/>
      <c r="M11" s="123"/>
      <c r="N11" s="123"/>
      <c r="O11" s="124"/>
      <c r="P11" s="125"/>
      <c r="Q11" s="34"/>
      <c r="R11" s="34"/>
      <c r="S11" s="34"/>
      <c r="T11" s="34"/>
      <c r="U11" s="36"/>
      <c r="V11" s="128" t="s">
        <v>240</v>
      </c>
      <c r="W11" s="126" t="s">
        <v>288</v>
      </c>
      <c r="X11" s="126" t="s">
        <v>289</v>
      </c>
      <c r="Y11" s="36"/>
      <c r="Z11" s="36"/>
      <c r="AA11" s="126" t="s">
        <v>290</v>
      </c>
      <c r="AB11" s="129" t="s">
        <v>349</v>
      </c>
      <c r="AC11" s="36"/>
      <c r="AD11" s="126" t="s">
        <v>291</v>
      </c>
    </row>
    <row r="12" spans="1:30">
      <c r="A12" s="123"/>
      <c r="B12" s="124"/>
      <c r="C12" s="124"/>
      <c r="D12" s="124"/>
      <c r="E12" s="124"/>
      <c r="F12" s="124"/>
      <c r="G12" s="124"/>
      <c r="H12" s="124"/>
      <c r="I12" s="124"/>
      <c r="J12" s="124"/>
      <c r="K12" s="124"/>
      <c r="L12" s="123"/>
      <c r="M12" s="123"/>
      <c r="N12" s="123"/>
      <c r="O12" s="124"/>
      <c r="P12" s="125"/>
      <c r="Q12" s="34"/>
      <c r="R12" s="34"/>
      <c r="S12" s="34"/>
      <c r="T12" s="34"/>
      <c r="U12" s="36"/>
      <c r="V12" s="126" t="s">
        <v>292</v>
      </c>
      <c r="W12" s="126" t="s">
        <v>293</v>
      </c>
      <c r="X12" s="126" t="s">
        <v>294</v>
      </c>
      <c r="Y12" s="36"/>
      <c r="Z12" s="36"/>
      <c r="AA12" s="126" t="s">
        <v>295</v>
      </c>
      <c r="AB12" s="126" t="s">
        <v>352</v>
      </c>
      <c r="AC12" s="36"/>
      <c r="AD12" s="126" t="s">
        <v>297</v>
      </c>
    </row>
    <row r="13" spans="1:30">
      <c r="A13" s="123"/>
      <c r="B13" s="124"/>
      <c r="C13" s="124"/>
      <c r="D13" s="124"/>
      <c r="E13" s="124"/>
      <c r="F13" s="124"/>
      <c r="G13" s="124"/>
      <c r="H13" s="124"/>
      <c r="I13" s="124"/>
      <c r="J13" s="124"/>
      <c r="K13" s="124"/>
      <c r="L13" s="123"/>
      <c r="M13" s="123"/>
      <c r="N13" s="123"/>
      <c r="O13" s="124"/>
      <c r="P13" s="125"/>
      <c r="Q13" s="34"/>
      <c r="R13" s="34"/>
      <c r="S13" s="34"/>
      <c r="T13" s="34"/>
      <c r="U13" s="36"/>
      <c r="V13" s="126" t="s">
        <v>298</v>
      </c>
      <c r="W13" s="126" t="s">
        <v>299</v>
      </c>
      <c r="X13" s="126" t="s">
        <v>300</v>
      </c>
      <c r="Y13" s="36"/>
      <c r="Z13" s="36"/>
      <c r="AA13" s="126" t="s">
        <v>301</v>
      </c>
      <c r="AB13" s="129" t="s">
        <v>360</v>
      </c>
      <c r="AC13" s="36"/>
      <c r="AD13" s="126" t="s">
        <v>302</v>
      </c>
    </row>
    <row r="14" spans="1:30">
      <c r="A14" s="123"/>
      <c r="B14" s="124"/>
      <c r="C14" s="124"/>
      <c r="D14" s="124"/>
      <c r="E14" s="124"/>
      <c r="F14" s="124"/>
      <c r="G14" s="124"/>
      <c r="H14" s="124"/>
      <c r="I14" s="124"/>
      <c r="J14" s="124"/>
      <c r="K14" s="124"/>
      <c r="L14" s="123"/>
      <c r="M14" s="123"/>
      <c r="N14" s="123"/>
      <c r="O14" s="124"/>
      <c r="P14" s="125"/>
      <c r="Q14" s="34"/>
      <c r="R14" s="34"/>
      <c r="S14" s="34"/>
      <c r="T14" s="34"/>
      <c r="U14" s="36"/>
      <c r="V14" s="126" t="s">
        <v>303</v>
      </c>
      <c r="W14" s="129" t="s">
        <v>304</v>
      </c>
      <c r="X14" s="126" t="s">
        <v>305</v>
      </c>
      <c r="Y14" s="36"/>
      <c r="Z14" s="36"/>
      <c r="AA14" s="126" t="s">
        <v>306</v>
      </c>
      <c r="AB14" s="129" t="s">
        <v>366</v>
      </c>
      <c r="AC14" s="36"/>
      <c r="AD14" s="126" t="s">
        <v>307</v>
      </c>
    </row>
    <row r="15" spans="1:30">
      <c r="A15" s="123"/>
      <c r="B15" s="124"/>
      <c r="C15" s="124"/>
      <c r="D15" s="124"/>
      <c r="E15" s="124"/>
      <c r="F15" s="124"/>
      <c r="G15" s="124"/>
      <c r="H15" s="124"/>
      <c r="I15" s="124"/>
      <c r="J15" s="124"/>
      <c r="K15" s="124"/>
      <c r="L15" s="123"/>
      <c r="M15" s="123"/>
      <c r="N15" s="123"/>
      <c r="O15" s="124"/>
      <c r="P15" s="125"/>
      <c r="Q15" s="34"/>
      <c r="R15" s="34"/>
      <c r="S15" s="34"/>
      <c r="T15" s="34"/>
      <c r="U15" s="130"/>
      <c r="V15" s="126" t="s">
        <v>308</v>
      </c>
      <c r="W15" s="126" t="s">
        <v>309</v>
      </c>
      <c r="X15" s="129" t="s">
        <v>310</v>
      </c>
      <c r="Y15" s="130"/>
      <c r="Z15" s="130"/>
      <c r="AA15" s="126" t="s">
        <v>311</v>
      </c>
      <c r="AB15" s="129" t="s">
        <v>369</v>
      </c>
      <c r="AC15" s="130"/>
      <c r="AD15" s="130"/>
    </row>
    <row r="16" spans="1:30">
      <c r="A16" s="123"/>
      <c r="B16" s="124"/>
      <c r="C16" s="124"/>
      <c r="D16" s="124"/>
      <c r="E16" s="124"/>
      <c r="F16" s="124"/>
      <c r="G16" s="124"/>
      <c r="H16" s="124"/>
      <c r="I16" s="124"/>
      <c r="J16" s="124"/>
      <c r="K16" s="124"/>
      <c r="L16" s="123"/>
      <c r="M16" s="123"/>
      <c r="N16" s="123"/>
      <c r="O16" s="124"/>
      <c r="P16" s="125"/>
      <c r="Q16" s="34"/>
      <c r="R16" s="34"/>
      <c r="S16" s="34"/>
      <c r="T16" s="34"/>
      <c r="U16" s="130"/>
      <c r="V16" s="129" t="s">
        <v>312</v>
      </c>
      <c r="W16" s="129" t="s">
        <v>313</v>
      </c>
      <c r="X16" s="129" t="s">
        <v>314</v>
      </c>
      <c r="Y16" s="130"/>
      <c r="Z16" s="130"/>
      <c r="AA16" s="129" t="s">
        <v>315</v>
      </c>
      <c r="AB16" s="126" t="s">
        <v>378</v>
      </c>
      <c r="AC16" s="130"/>
      <c r="AD16" s="130"/>
    </row>
    <row r="17" spans="1:30">
      <c r="A17" s="123"/>
      <c r="B17" s="124"/>
      <c r="C17" s="124"/>
      <c r="D17" s="124"/>
      <c r="E17" s="124"/>
      <c r="F17" s="124"/>
      <c r="G17" s="124"/>
      <c r="H17" s="124"/>
      <c r="I17" s="124"/>
      <c r="J17" s="124"/>
      <c r="K17" s="124"/>
      <c r="L17" s="123"/>
      <c r="M17" s="123"/>
      <c r="N17" s="123"/>
      <c r="O17" s="124"/>
      <c r="P17" s="125"/>
      <c r="Q17" s="34"/>
      <c r="R17" s="34"/>
      <c r="S17" s="34"/>
      <c r="T17" s="34"/>
      <c r="U17" s="130"/>
      <c r="V17" s="129" t="s">
        <v>317</v>
      </c>
      <c r="W17" s="129" t="s">
        <v>318</v>
      </c>
      <c r="X17" s="129" t="s">
        <v>319</v>
      </c>
      <c r="Y17" s="130"/>
      <c r="Z17" s="130"/>
      <c r="AA17" s="129" t="s">
        <v>320</v>
      </c>
      <c r="AB17" s="129" t="s">
        <v>386</v>
      </c>
      <c r="AC17" s="130"/>
      <c r="AD17" s="130"/>
    </row>
    <row r="18" spans="1:30">
      <c r="A18" s="123"/>
      <c r="B18" s="124"/>
      <c r="C18" s="124"/>
      <c r="D18" s="124"/>
      <c r="E18" s="124"/>
      <c r="F18" s="124"/>
      <c r="G18" s="124"/>
      <c r="H18" s="124"/>
      <c r="I18" s="124"/>
      <c r="J18" s="124"/>
      <c r="K18" s="124"/>
      <c r="L18" s="123"/>
      <c r="M18" s="123"/>
      <c r="N18" s="123"/>
      <c r="O18" s="124"/>
      <c r="P18" s="125"/>
      <c r="Q18" s="34"/>
      <c r="R18" s="34"/>
      <c r="S18" s="34"/>
      <c r="T18" s="34"/>
      <c r="U18" s="130"/>
      <c r="V18" s="129" t="s">
        <v>321</v>
      </c>
      <c r="W18" s="129" t="s">
        <v>322</v>
      </c>
      <c r="X18" s="129" t="s">
        <v>323</v>
      </c>
      <c r="Y18" s="130"/>
      <c r="Z18" s="130"/>
      <c r="AA18" s="130"/>
      <c r="AB18" s="129" t="s">
        <v>395</v>
      </c>
      <c r="AC18" s="130"/>
      <c r="AD18" s="130"/>
    </row>
    <row r="19" spans="1:30">
      <c r="A19" s="123"/>
      <c r="B19" s="124"/>
      <c r="C19" s="124"/>
      <c r="D19" s="124"/>
      <c r="E19" s="124"/>
      <c r="F19" s="124"/>
      <c r="G19" s="124"/>
      <c r="H19" s="124"/>
      <c r="I19" s="124"/>
      <c r="J19" s="124"/>
      <c r="K19" s="124"/>
      <c r="L19" s="123"/>
      <c r="M19" s="123"/>
      <c r="N19" s="123"/>
      <c r="O19" s="124"/>
      <c r="P19" s="125"/>
      <c r="Q19" s="34"/>
      <c r="R19" s="34"/>
      <c r="S19" s="34"/>
      <c r="T19" s="34"/>
      <c r="U19" s="130"/>
      <c r="V19" s="129"/>
      <c r="W19" s="129" t="s">
        <v>324</v>
      </c>
      <c r="X19" s="129" t="s">
        <v>325</v>
      </c>
      <c r="Y19" s="130"/>
      <c r="Z19" s="130"/>
      <c r="AA19" s="130"/>
      <c r="AB19" s="129" t="s">
        <v>404</v>
      </c>
      <c r="AC19" s="130"/>
      <c r="AD19" s="130"/>
    </row>
    <row r="20" spans="1:30">
      <c r="A20" s="123"/>
      <c r="B20" s="124"/>
      <c r="C20" s="124"/>
      <c r="D20" s="124"/>
      <c r="E20" s="124"/>
      <c r="F20" s="124"/>
      <c r="G20" s="124"/>
      <c r="H20" s="124"/>
      <c r="I20" s="124"/>
      <c r="J20" s="124"/>
      <c r="K20" s="124"/>
      <c r="L20" s="123"/>
      <c r="M20" s="123"/>
      <c r="N20" s="123"/>
      <c r="O20" s="124"/>
      <c r="P20" s="125"/>
      <c r="Q20" s="34"/>
      <c r="R20" s="34"/>
      <c r="S20" s="34"/>
      <c r="T20" s="34"/>
      <c r="U20" s="130"/>
      <c r="V20" s="129"/>
      <c r="W20" s="129" t="s">
        <v>326</v>
      </c>
      <c r="X20" s="129" t="s">
        <v>327</v>
      </c>
      <c r="Y20" s="130"/>
      <c r="Z20" s="130"/>
      <c r="AA20" s="130"/>
      <c r="AB20" s="126" t="s">
        <v>413</v>
      </c>
      <c r="AC20" s="130"/>
      <c r="AD20" s="130"/>
    </row>
    <row r="21" spans="1:30">
      <c r="A21" s="123"/>
      <c r="B21" s="124"/>
      <c r="C21" s="124"/>
      <c r="D21" s="124"/>
      <c r="E21" s="124"/>
      <c r="F21" s="124"/>
      <c r="G21" s="124"/>
      <c r="H21" s="124"/>
      <c r="I21" s="124"/>
      <c r="J21" s="124"/>
      <c r="K21" s="124"/>
      <c r="L21" s="123"/>
      <c r="M21" s="123"/>
      <c r="N21" s="123"/>
      <c r="O21" s="124"/>
      <c r="P21" s="125"/>
      <c r="Q21" s="34"/>
      <c r="R21" s="34"/>
      <c r="S21" s="34"/>
      <c r="T21" s="34"/>
      <c r="U21" s="130"/>
      <c r="V21" s="129"/>
      <c r="W21" s="129" t="s">
        <v>329</v>
      </c>
      <c r="X21" s="129" t="s">
        <v>330</v>
      </c>
      <c r="Y21" s="130"/>
      <c r="Z21" s="130"/>
      <c r="AA21" s="130"/>
      <c r="AB21" s="129" t="s">
        <v>417</v>
      </c>
      <c r="AC21" s="130"/>
      <c r="AD21" s="130"/>
    </row>
    <row r="22" spans="1:30">
      <c r="A22" s="123"/>
      <c r="B22" s="124"/>
      <c r="C22" s="124"/>
      <c r="D22" s="124"/>
      <c r="E22" s="124"/>
      <c r="F22" s="124"/>
      <c r="G22" s="124"/>
      <c r="H22" s="124"/>
      <c r="I22" s="124"/>
      <c r="J22" s="124"/>
      <c r="K22" s="124"/>
      <c r="L22" s="123"/>
      <c r="M22" s="123"/>
      <c r="N22" s="123"/>
      <c r="O22" s="124"/>
      <c r="P22" s="125"/>
      <c r="Q22" s="34"/>
      <c r="R22" s="34"/>
      <c r="S22" s="34"/>
      <c r="T22" s="34"/>
      <c r="U22" s="130"/>
      <c r="V22" s="129"/>
      <c r="W22" s="129" t="s">
        <v>331</v>
      </c>
      <c r="X22" s="129" t="s">
        <v>332</v>
      </c>
      <c r="Y22" s="130"/>
      <c r="Z22" s="130"/>
      <c r="AA22" s="130"/>
      <c r="AB22" s="129" t="s">
        <v>419</v>
      </c>
      <c r="AC22" s="130"/>
      <c r="AD22" s="130"/>
    </row>
    <row r="23" spans="1:30">
      <c r="A23" s="123"/>
      <c r="B23" s="124"/>
      <c r="C23" s="124"/>
      <c r="D23" s="124"/>
      <c r="E23" s="124"/>
      <c r="F23" s="124"/>
      <c r="G23" s="124"/>
      <c r="H23" s="124"/>
      <c r="I23" s="124"/>
      <c r="J23" s="124"/>
      <c r="K23" s="124"/>
      <c r="L23" s="123"/>
      <c r="M23" s="123"/>
      <c r="N23" s="123"/>
      <c r="O23" s="124"/>
      <c r="P23" s="125"/>
      <c r="Q23" s="34"/>
      <c r="R23" s="34"/>
      <c r="S23" s="34"/>
      <c r="T23" s="34"/>
      <c r="U23" s="130"/>
      <c r="V23" s="129"/>
      <c r="W23" s="129" t="s">
        <v>333</v>
      </c>
      <c r="X23" s="129" t="s">
        <v>334</v>
      </c>
      <c r="Y23" s="130"/>
      <c r="Z23" s="130"/>
      <c r="AA23" s="130"/>
      <c r="AB23" s="129" t="s">
        <v>422</v>
      </c>
      <c r="AC23" s="130"/>
      <c r="AD23" s="130"/>
    </row>
    <row r="24" spans="1:30">
      <c r="A24" s="123"/>
      <c r="B24" s="124"/>
      <c r="C24" s="124"/>
      <c r="D24" s="124"/>
      <c r="E24" s="124"/>
      <c r="F24" s="124"/>
      <c r="G24" s="124"/>
      <c r="H24" s="124"/>
      <c r="I24" s="124"/>
      <c r="J24" s="124"/>
      <c r="K24" s="124"/>
      <c r="L24" s="123"/>
      <c r="M24" s="123"/>
      <c r="N24" s="123"/>
      <c r="O24" s="124"/>
      <c r="P24" s="125"/>
      <c r="Q24" s="34"/>
      <c r="R24" s="34"/>
      <c r="S24" s="34"/>
      <c r="T24" s="34"/>
      <c r="U24" s="130"/>
      <c r="V24" s="129"/>
      <c r="W24" s="129" t="s">
        <v>335</v>
      </c>
      <c r="X24" s="129" t="s">
        <v>336</v>
      </c>
      <c r="Y24" s="130"/>
      <c r="Z24" s="130"/>
      <c r="AA24" s="130"/>
      <c r="AB24" s="126" t="s">
        <v>425</v>
      </c>
      <c r="AC24" s="130"/>
      <c r="AD24" s="130"/>
    </row>
    <row r="25" spans="1:30">
      <c r="A25" s="123"/>
      <c r="B25" s="124"/>
      <c r="C25" s="124"/>
      <c r="D25" s="124"/>
      <c r="E25" s="124"/>
      <c r="F25" s="124"/>
      <c r="G25" s="124"/>
      <c r="H25" s="124"/>
      <c r="I25" s="124"/>
      <c r="J25" s="124"/>
      <c r="K25" s="124"/>
      <c r="L25" s="123"/>
      <c r="M25" s="123"/>
      <c r="N25" s="123"/>
      <c r="O25" s="124"/>
      <c r="P25" s="125"/>
      <c r="Q25" s="34"/>
      <c r="R25" s="34"/>
      <c r="S25" s="34"/>
      <c r="T25" s="34"/>
      <c r="U25" s="130"/>
      <c r="V25" s="129"/>
      <c r="W25" s="129" t="s">
        <v>338</v>
      </c>
      <c r="X25" s="129" t="s">
        <v>339</v>
      </c>
      <c r="Y25" s="130"/>
      <c r="Z25" s="130"/>
      <c r="AA25" s="130"/>
      <c r="AB25" s="129" t="s">
        <v>426</v>
      </c>
      <c r="AC25" s="130"/>
      <c r="AD25" s="130"/>
    </row>
    <row r="26" spans="1:30">
      <c r="A26" s="123"/>
      <c r="B26" s="124"/>
      <c r="C26" s="124"/>
      <c r="D26" s="124"/>
      <c r="E26" s="124"/>
      <c r="F26" s="124"/>
      <c r="G26" s="124"/>
      <c r="H26" s="124"/>
      <c r="I26" s="124"/>
      <c r="J26" s="124"/>
      <c r="K26" s="124"/>
      <c r="L26" s="123"/>
      <c r="M26" s="123"/>
      <c r="N26" s="123"/>
      <c r="O26" s="124"/>
      <c r="P26" s="125"/>
      <c r="Q26" s="34"/>
      <c r="R26" s="34"/>
      <c r="S26" s="34"/>
      <c r="T26" s="34"/>
      <c r="U26" s="130"/>
      <c r="V26" s="129"/>
      <c r="W26" s="129" t="s">
        <v>340</v>
      </c>
      <c r="X26" s="129" t="s">
        <v>341</v>
      </c>
      <c r="Y26" s="130"/>
      <c r="Z26" s="130"/>
      <c r="AA26" s="130"/>
      <c r="AB26" s="129" t="s">
        <v>431</v>
      </c>
      <c r="AC26" s="130"/>
      <c r="AD26" s="130"/>
    </row>
    <row r="27" spans="1:30">
      <c r="A27" s="123"/>
      <c r="B27" s="124"/>
      <c r="C27" s="124"/>
      <c r="D27" s="124"/>
      <c r="E27" s="124"/>
      <c r="F27" s="124"/>
      <c r="G27" s="124"/>
      <c r="H27" s="124"/>
      <c r="I27" s="124"/>
      <c r="J27" s="124"/>
      <c r="K27" s="124"/>
      <c r="L27" s="123"/>
      <c r="M27" s="123"/>
      <c r="N27" s="123"/>
      <c r="O27" s="124"/>
      <c r="P27" s="125"/>
      <c r="Q27" s="34"/>
      <c r="R27" s="34"/>
      <c r="S27" s="34"/>
      <c r="T27" s="34"/>
      <c r="U27" s="130"/>
      <c r="V27" s="129"/>
      <c r="W27" s="129" t="s">
        <v>342</v>
      </c>
      <c r="X27" s="129" t="s">
        <v>343</v>
      </c>
      <c r="Y27" s="130"/>
      <c r="Z27" s="130"/>
      <c r="AA27" s="130"/>
      <c r="AB27" s="129" t="s">
        <v>435</v>
      </c>
      <c r="AC27" s="130"/>
      <c r="AD27" s="130"/>
    </row>
    <row r="28" spans="1:30">
      <c r="A28" s="123"/>
      <c r="B28" s="124"/>
      <c r="C28" s="124"/>
      <c r="D28" s="124"/>
      <c r="E28" s="124"/>
      <c r="F28" s="124"/>
      <c r="G28" s="124"/>
      <c r="H28" s="124"/>
      <c r="I28" s="124"/>
      <c r="J28" s="124"/>
      <c r="K28" s="124"/>
      <c r="L28" s="123"/>
      <c r="M28" s="123"/>
      <c r="N28" s="123"/>
      <c r="O28" s="124"/>
      <c r="P28" s="125"/>
      <c r="Q28" s="34"/>
      <c r="R28" s="34"/>
      <c r="S28" s="34"/>
      <c r="T28" s="34"/>
      <c r="U28" s="130"/>
      <c r="V28" s="129"/>
      <c r="W28" s="129" t="s">
        <v>344</v>
      </c>
      <c r="X28" s="129" t="s">
        <v>345</v>
      </c>
      <c r="Y28" s="130"/>
      <c r="Z28" s="130"/>
      <c r="AA28" s="130"/>
      <c r="AB28" s="129" t="s">
        <v>437</v>
      </c>
      <c r="AC28" s="130"/>
      <c r="AD28" s="130"/>
    </row>
    <row r="29" spans="1:30">
      <c r="A29" s="123"/>
      <c r="B29" s="124"/>
      <c r="C29" s="124"/>
      <c r="D29" s="124"/>
      <c r="E29" s="124"/>
      <c r="F29" s="124"/>
      <c r="G29" s="124"/>
      <c r="H29" s="124"/>
      <c r="I29" s="124"/>
      <c r="J29" s="124"/>
      <c r="K29" s="124"/>
      <c r="L29" s="123"/>
      <c r="M29" s="123"/>
      <c r="N29" s="123"/>
      <c r="O29" s="124"/>
      <c r="P29" s="125"/>
      <c r="Q29" s="34"/>
      <c r="R29" s="34"/>
      <c r="S29" s="34"/>
      <c r="T29" s="34"/>
      <c r="U29" s="130"/>
      <c r="V29" s="129"/>
      <c r="W29" s="129" t="s">
        <v>347</v>
      </c>
      <c r="X29" s="129" t="s">
        <v>348</v>
      </c>
      <c r="Y29" s="130"/>
      <c r="Z29" s="130"/>
      <c r="AA29" s="130"/>
      <c r="AB29" s="129" t="s">
        <v>442</v>
      </c>
      <c r="AC29" s="130"/>
      <c r="AD29" s="130"/>
    </row>
    <row r="30" spans="1:30">
      <c r="A30" s="123"/>
      <c r="B30" s="124"/>
      <c r="C30" s="124"/>
      <c r="D30" s="124"/>
      <c r="E30" s="124"/>
      <c r="F30" s="124"/>
      <c r="G30" s="124"/>
      <c r="H30" s="124"/>
      <c r="I30" s="124"/>
      <c r="J30" s="124"/>
      <c r="K30" s="124"/>
      <c r="L30" s="123"/>
      <c r="M30" s="123"/>
      <c r="N30" s="123"/>
      <c r="O30" s="124"/>
      <c r="P30" s="125"/>
      <c r="Q30" s="34"/>
      <c r="R30" s="34"/>
      <c r="S30" s="34"/>
      <c r="T30" s="34"/>
      <c r="U30" s="130"/>
      <c r="V30" s="129"/>
      <c r="W30" s="129" t="s">
        <v>350</v>
      </c>
      <c r="X30" s="129" t="s">
        <v>351</v>
      </c>
      <c r="Y30" s="130"/>
      <c r="Z30" s="130"/>
      <c r="AA30" s="130"/>
      <c r="AB30" s="126" t="s">
        <v>447</v>
      </c>
      <c r="AC30" s="130"/>
      <c r="AD30" s="130"/>
    </row>
    <row r="31" spans="1:30">
      <c r="A31" s="123"/>
      <c r="B31" s="124"/>
      <c r="C31" s="124"/>
      <c r="D31" s="124"/>
      <c r="E31" s="124"/>
      <c r="F31" s="124"/>
      <c r="G31" s="124"/>
      <c r="H31" s="124"/>
      <c r="I31" s="124"/>
      <c r="J31" s="124"/>
      <c r="K31" s="124"/>
      <c r="L31" s="123"/>
      <c r="M31" s="123"/>
      <c r="N31" s="123"/>
      <c r="O31" s="124"/>
      <c r="P31" s="125"/>
      <c r="Q31" s="34"/>
      <c r="R31" s="34"/>
      <c r="S31" s="34"/>
      <c r="T31" s="34"/>
      <c r="U31" s="130"/>
      <c r="V31" s="129"/>
      <c r="W31" s="129" t="s">
        <v>353</v>
      </c>
      <c r="X31" s="129" t="s">
        <v>354</v>
      </c>
      <c r="Y31" s="130"/>
      <c r="Z31" s="130"/>
      <c r="AA31" s="130"/>
      <c r="AB31" s="129" t="s">
        <v>451</v>
      </c>
      <c r="AC31" s="130"/>
      <c r="AD31" s="130"/>
    </row>
    <row r="32" spans="1:30">
      <c r="A32" s="123"/>
      <c r="B32" s="124"/>
      <c r="C32" s="124"/>
      <c r="D32" s="124"/>
      <c r="E32" s="124"/>
      <c r="F32" s="124"/>
      <c r="G32" s="124"/>
      <c r="H32" s="124"/>
      <c r="I32" s="124"/>
      <c r="J32" s="124"/>
      <c r="K32" s="124"/>
      <c r="L32" s="123"/>
      <c r="M32" s="123"/>
      <c r="N32" s="123"/>
      <c r="O32" s="124"/>
      <c r="P32" s="125"/>
      <c r="Q32" s="34"/>
      <c r="R32" s="34"/>
      <c r="S32" s="34"/>
      <c r="T32" s="34"/>
      <c r="U32" s="130"/>
      <c r="V32" s="129"/>
      <c r="W32" s="129" t="s">
        <v>226</v>
      </c>
      <c r="X32" s="129" t="s">
        <v>355</v>
      </c>
      <c r="Y32" s="130"/>
      <c r="Z32" s="130"/>
      <c r="AA32" s="130"/>
      <c r="AB32" s="129" t="s">
        <v>456</v>
      </c>
      <c r="AC32" s="130"/>
      <c r="AD32" s="130"/>
    </row>
    <row r="33" spans="1:30">
      <c r="A33" s="123"/>
      <c r="B33" s="124"/>
      <c r="C33" s="124"/>
      <c r="D33" s="124"/>
      <c r="E33" s="124"/>
      <c r="F33" s="124"/>
      <c r="G33" s="124"/>
      <c r="H33" s="124"/>
      <c r="I33" s="124"/>
      <c r="J33" s="124"/>
      <c r="K33" s="124"/>
      <c r="L33" s="123"/>
      <c r="M33" s="123"/>
      <c r="N33" s="123"/>
      <c r="O33" s="124"/>
      <c r="P33" s="125"/>
      <c r="Q33" s="34"/>
      <c r="R33" s="34"/>
      <c r="S33" s="34"/>
      <c r="T33" s="34"/>
      <c r="U33" s="130"/>
      <c r="V33" s="129"/>
      <c r="W33" s="129" t="s">
        <v>356</v>
      </c>
      <c r="X33" s="129" t="s">
        <v>357</v>
      </c>
      <c r="Y33" s="130"/>
      <c r="Z33" s="130"/>
      <c r="AA33" s="130"/>
      <c r="AB33" s="129" t="s">
        <v>458</v>
      </c>
      <c r="AC33" s="130"/>
      <c r="AD33" s="130"/>
    </row>
    <row r="34" spans="1:30">
      <c r="A34" s="123"/>
      <c r="B34" s="124"/>
      <c r="C34" s="124"/>
      <c r="D34" s="124"/>
      <c r="E34" s="124"/>
      <c r="F34" s="124"/>
      <c r="G34" s="124"/>
      <c r="H34" s="124"/>
      <c r="I34" s="124"/>
      <c r="J34" s="124"/>
      <c r="K34" s="124"/>
      <c r="L34" s="123"/>
      <c r="M34" s="123"/>
      <c r="N34" s="123"/>
      <c r="O34" s="124"/>
      <c r="P34" s="125"/>
      <c r="Q34" s="34"/>
      <c r="R34" s="34"/>
      <c r="S34" s="34"/>
      <c r="T34" s="34"/>
      <c r="U34" s="130"/>
      <c r="V34" s="129"/>
      <c r="W34" s="129" t="s">
        <v>358</v>
      </c>
      <c r="X34" s="129" t="s">
        <v>359</v>
      </c>
      <c r="Y34" s="130"/>
      <c r="Z34" s="130"/>
      <c r="AA34" s="130"/>
      <c r="AB34" s="126" t="s">
        <v>462</v>
      </c>
      <c r="AC34" s="130"/>
      <c r="AD34" s="130"/>
    </row>
    <row r="35" spans="1:30">
      <c r="A35" s="123"/>
      <c r="B35" s="124"/>
      <c r="C35" s="124"/>
      <c r="D35" s="124"/>
      <c r="E35" s="124"/>
      <c r="F35" s="124"/>
      <c r="G35" s="124"/>
      <c r="H35" s="124"/>
      <c r="I35" s="124"/>
      <c r="J35" s="124"/>
      <c r="K35" s="124"/>
      <c r="L35" s="123"/>
      <c r="M35" s="123"/>
      <c r="N35" s="123"/>
      <c r="O35" s="124"/>
      <c r="P35" s="125"/>
      <c r="Q35" s="34"/>
      <c r="R35" s="34"/>
      <c r="S35" s="34"/>
      <c r="T35" s="34"/>
      <c r="U35" s="130"/>
      <c r="V35" s="129"/>
      <c r="W35" s="128" t="s">
        <v>240</v>
      </c>
      <c r="X35" s="129" t="s">
        <v>361</v>
      </c>
      <c r="Y35" s="130"/>
      <c r="Z35" s="130"/>
      <c r="AA35" s="130"/>
      <c r="AB35" s="129" t="s">
        <v>467</v>
      </c>
      <c r="AC35" s="130"/>
      <c r="AD35" s="130"/>
    </row>
    <row r="36" spans="1:30">
      <c r="A36" s="123"/>
      <c r="B36" s="124"/>
      <c r="C36" s="124"/>
      <c r="D36" s="124"/>
      <c r="E36" s="124"/>
      <c r="F36" s="124"/>
      <c r="G36" s="124"/>
      <c r="H36" s="124"/>
      <c r="I36" s="124"/>
      <c r="J36" s="124"/>
      <c r="K36" s="124"/>
      <c r="L36" s="123"/>
      <c r="M36" s="123"/>
      <c r="N36" s="123"/>
      <c r="O36" s="124"/>
      <c r="P36" s="125"/>
      <c r="Q36" s="34"/>
      <c r="R36" s="34"/>
      <c r="S36" s="34"/>
      <c r="T36" s="34"/>
      <c r="U36" s="130"/>
      <c r="V36" s="129"/>
      <c r="W36" s="129" t="s">
        <v>362</v>
      </c>
      <c r="X36" s="129" t="s">
        <v>363</v>
      </c>
      <c r="Y36" s="130"/>
      <c r="Z36" s="130"/>
      <c r="AA36" s="130"/>
      <c r="AB36" s="129" t="s">
        <v>473</v>
      </c>
      <c r="AC36" s="130"/>
      <c r="AD36" s="130"/>
    </row>
    <row r="37" spans="1:30">
      <c r="A37" s="123"/>
      <c r="B37" s="124"/>
      <c r="C37" s="124"/>
      <c r="D37" s="124"/>
      <c r="E37" s="124"/>
      <c r="F37" s="124"/>
      <c r="G37" s="124"/>
      <c r="H37" s="124"/>
      <c r="I37" s="124"/>
      <c r="J37" s="124"/>
      <c r="K37" s="124"/>
      <c r="L37" s="123"/>
      <c r="M37" s="123"/>
      <c r="N37" s="123"/>
      <c r="O37" s="124"/>
      <c r="P37" s="125"/>
      <c r="Q37" s="34"/>
      <c r="R37" s="34"/>
      <c r="S37" s="34"/>
      <c r="T37" s="34"/>
      <c r="U37" s="130"/>
      <c r="V37" s="129"/>
      <c r="W37" s="129" t="s">
        <v>364</v>
      </c>
      <c r="X37" s="129" t="s">
        <v>365</v>
      </c>
      <c r="Y37" s="130"/>
      <c r="Z37" s="130"/>
      <c r="AA37" s="130"/>
      <c r="AB37" s="129" t="s">
        <v>477</v>
      </c>
      <c r="AC37" s="130"/>
      <c r="AD37" s="130"/>
    </row>
    <row r="38" spans="1:30">
      <c r="A38" s="123"/>
      <c r="B38" s="124"/>
      <c r="C38" s="124"/>
      <c r="D38" s="124"/>
      <c r="E38" s="124"/>
      <c r="F38" s="124"/>
      <c r="G38" s="124"/>
      <c r="H38" s="124"/>
      <c r="I38" s="124"/>
      <c r="J38" s="124"/>
      <c r="K38" s="124"/>
      <c r="L38" s="123"/>
      <c r="M38" s="123"/>
      <c r="N38" s="123"/>
      <c r="O38" s="124"/>
      <c r="P38" s="125"/>
      <c r="Q38" s="34"/>
      <c r="R38" s="34"/>
      <c r="S38" s="34"/>
      <c r="T38" s="34"/>
      <c r="U38" s="130"/>
      <c r="V38" s="129"/>
      <c r="W38" s="129" t="s">
        <v>367</v>
      </c>
      <c r="X38" s="129" t="s">
        <v>368</v>
      </c>
      <c r="Y38" s="130"/>
      <c r="Z38" s="130"/>
      <c r="AA38" s="130"/>
      <c r="AB38" s="126" t="s">
        <v>480</v>
      </c>
      <c r="AC38" s="130"/>
      <c r="AD38" s="130"/>
    </row>
    <row r="39" spans="1:30">
      <c r="A39" s="123"/>
      <c r="B39" s="124"/>
      <c r="C39" s="124"/>
      <c r="D39" s="124"/>
      <c r="E39" s="124"/>
      <c r="F39" s="124"/>
      <c r="G39" s="124"/>
      <c r="H39" s="124"/>
      <c r="I39" s="124"/>
      <c r="J39" s="124"/>
      <c r="K39" s="124"/>
      <c r="L39" s="123"/>
      <c r="M39" s="123"/>
      <c r="N39" s="123"/>
      <c r="O39" s="124"/>
      <c r="P39" s="125"/>
      <c r="Q39" s="34"/>
      <c r="R39" s="34"/>
      <c r="S39" s="34"/>
      <c r="T39" s="34"/>
      <c r="U39" s="130"/>
      <c r="V39" s="129"/>
      <c r="W39" s="129" t="s">
        <v>370</v>
      </c>
      <c r="X39" s="129" t="s">
        <v>371</v>
      </c>
      <c r="Y39" s="130"/>
      <c r="Z39" s="130"/>
      <c r="AA39" s="130"/>
      <c r="AB39" s="129" t="s">
        <v>482</v>
      </c>
      <c r="AC39" s="130"/>
      <c r="AD39" s="130"/>
    </row>
    <row r="40" spans="1:30">
      <c r="A40" s="123"/>
      <c r="B40" s="124"/>
      <c r="C40" s="124"/>
      <c r="D40" s="124"/>
      <c r="E40" s="124"/>
      <c r="F40" s="124"/>
      <c r="G40" s="124"/>
      <c r="H40" s="124"/>
      <c r="I40" s="124"/>
      <c r="J40" s="124"/>
      <c r="K40" s="124"/>
      <c r="L40" s="123"/>
      <c r="M40" s="123"/>
      <c r="N40" s="123"/>
      <c r="O40" s="124"/>
      <c r="P40" s="125"/>
      <c r="Q40" s="34"/>
      <c r="R40" s="34"/>
      <c r="S40" s="34"/>
      <c r="T40" s="34"/>
      <c r="U40" s="130"/>
      <c r="V40" s="129"/>
      <c r="W40" s="129" t="s">
        <v>372</v>
      </c>
      <c r="X40" s="129" t="s">
        <v>373</v>
      </c>
      <c r="Y40" s="130"/>
      <c r="Z40" s="130"/>
      <c r="AA40" s="130"/>
      <c r="AB40" s="129" t="s">
        <v>240</v>
      </c>
      <c r="AC40" s="130"/>
      <c r="AD40" s="130"/>
    </row>
    <row r="41" spans="1:30">
      <c r="A41" s="123"/>
      <c r="B41" s="124"/>
      <c r="C41" s="124"/>
      <c r="D41" s="124"/>
      <c r="E41" s="124"/>
      <c r="F41" s="124"/>
      <c r="G41" s="124"/>
      <c r="H41" s="124"/>
      <c r="I41" s="124"/>
      <c r="J41" s="124"/>
      <c r="K41" s="124"/>
      <c r="L41" s="123"/>
      <c r="M41" s="123"/>
      <c r="N41" s="123"/>
      <c r="O41" s="124"/>
      <c r="P41" s="125"/>
      <c r="Q41" s="34"/>
      <c r="R41" s="34"/>
      <c r="S41" s="34"/>
      <c r="T41" s="34"/>
      <c r="U41" s="130"/>
      <c r="V41" s="129"/>
      <c r="W41" s="129" t="s">
        <v>374</v>
      </c>
      <c r="X41" s="129" t="s">
        <v>375</v>
      </c>
      <c r="Y41" s="130"/>
      <c r="Z41" s="130"/>
      <c r="AA41" s="130"/>
      <c r="AB41" s="129" t="s">
        <v>487</v>
      </c>
      <c r="AC41" s="130"/>
      <c r="AD41" s="130"/>
    </row>
    <row r="42" spans="1:30">
      <c r="A42" s="123"/>
      <c r="B42" s="124"/>
      <c r="C42" s="124"/>
      <c r="D42" s="124"/>
      <c r="E42" s="124"/>
      <c r="F42" s="124"/>
      <c r="G42" s="124"/>
      <c r="H42" s="124"/>
      <c r="I42" s="124"/>
      <c r="J42" s="124"/>
      <c r="K42" s="124"/>
      <c r="L42" s="123"/>
      <c r="M42" s="123"/>
      <c r="N42" s="123"/>
      <c r="O42" s="124"/>
      <c r="P42" s="125"/>
      <c r="Q42" s="34"/>
      <c r="R42" s="34"/>
      <c r="S42" s="34"/>
      <c r="T42" s="34"/>
      <c r="U42" s="130"/>
      <c r="V42" s="129"/>
      <c r="W42" s="129" t="s">
        <v>376</v>
      </c>
      <c r="X42" s="129" t="s">
        <v>377</v>
      </c>
      <c r="Y42" s="130"/>
      <c r="Z42" s="130"/>
      <c r="AA42" s="130"/>
      <c r="AB42" s="126" t="s">
        <v>489</v>
      </c>
      <c r="AC42" s="130"/>
      <c r="AD42" s="130"/>
    </row>
    <row r="43" spans="1:30">
      <c r="A43" s="123"/>
      <c r="B43" s="124"/>
      <c r="C43" s="124"/>
      <c r="D43" s="124"/>
      <c r="E43" s="124"/>
      <c r="F43" s="124"/>
      <c r="G43" s="124"/>
      <c r="H43" s="124"/>
      <c r="I43" s="124"/>
      <c r="J43" s="124"/>
      <c r="K43" s="124"/>
      <c r="L43" s="123"/>
      <c r="M43" s="123"/>
      <c r="N43" s="123"/>
      <c r="O43" s="124"/>
      <c r="P43" s="125"/>
      <c r="Q43" s="34"/>
      <c r="R43" s="34"/>
      <c r="S43" s="34"/>
      <c r="T43" s="34"/>
      <c r="U43" s="130"/>
      <c r="V43" s="129"/>
      <c r="W43" s="129" t="s">
        <v>379</v>
      </c>
      <c r="X43" s="129" t="s">
        <v>380</v>
      </c>
      <c r="Y43" s="130"/>
      <c r="Z43" s="130"/>
      <c r="AA43" s="130"/>
      <c r="AB43" s="129" t="s">
        <v>491</v>
      </c>
      <c r="AC43" s="130"/>
      <c r="AD43" s="130"/>
    </row>
    <row r="44" spans="1:30">
      <c r="A44" s="123"/>
      <c r="B44" s="124"/>
      <c r="C44" s="124"/>
      <c r="D44" s="124"/>
      <c r="E44" s="124"/>
      <c r="F44" s="124"/>
      <c r="G44" s="124"/>
      <c r="H44" s="124"/>
      <c r="I44" s="124"/>
      <c r="J44" s="124"/>
      <c r="K44" s="124"/>
      <c r="L44" s="123"/>
      <c r="M44" s="123"/>
      <c r="N44" s="123"/>
      <c r="O44" s="124"/>
      <c r="P44" s="125"/>
      <c r="Q44" s="34"/>
      <c r="R44" s="34"/>
      <c r="S44" s="34"/>
      <c r="T44" s="34"/>
      <c r="U44" s="130"/>
      <c r="V44" s="129"/>
      <c r="W44" s="129" t="s">
        <v>381</v>
      </c>
      <c r="X44" s="129" t="s">
        <v>288</v>
      </c>
      <c r="Y44" s="130"/>
      <c r="Z44" s="130"/>
      <c r="AA44" s="130"/>
      <c r="AB44" s="129" t="s">
        <v>496</v>
      </c>
      <c r="AC44" s="130"/>
      <c r="AD44" s="130"/>
    </row>
    <row r="45" spans="1:30">
      <c r="A45" s="123"/>
      <c r="B45" s="124"/>
      <c r="C45" s="124"/>
      <c r="D45" s="124"/>
      <c r="E45" s="124"/>
      <c r="F45" s="124"/>
      <c r="G45" s="124"/>
      <c r="H45" s="124"/>
      <c r="I45" s="124"/>
      <c r="J45" s="124"/>
      <c r="K45" s="124"/>
      <c r="L45" s="123"/>
      <c r="M45" s="123"/>
      <c r="N45" s="123"/>
      <c r="O45" s="124"/>
      <c r="P45" s="125"/>
      <c r="Q45" s="34"/>
      <c r="R45" s="34"/>
      <c r="S45" s="34"/>
      <c r="T45" s="34"/>
      <c r="U45" s="130"/>
      <c r="V45" s="129"/>
      <c r="W45" s="129" t="s">
        <v>382</v>
      </c>
      <c r="X45" s="129" t="s">
        <v>383</v>
      </c>
      <c r="Y45" s="130"/>
      <c r="Z45" s="130"/>
      <c r="AA45" s="130"/>
      <c r="AB45" s="129" t="s">
        <v>501</v>
      </c>
      <c r="AC45" s="130"/>
      <c r="AD45" s="130"/>
    </row>
    <row r="46" spans="1:30">
      <c r="A46" s="123"/>
      <c r="B46" s="124"/>
      <c r="C46" s="124"/>
      <c r="D46" s="124"/>
      <c r="E46" s="124"/>
      <c r="F46" s="124"/>
      <c r="G46" s="124"/>
      <c r="H46" s="124"/>
      <c r="I46" s="124"/>
      <c r="J46" s="124"/>
      <c r="K46" s="124"/>
      <c r="L46" s="123"/>
      <c r="M46" s="123"/>
      <c r="N46" s="123"/>
      <c r="O46" s="124"/>
      <c r="P46" s="125"/>
      <c r="Q46" s="34"/>
      <c r="R46" s="34"/>
      <c r="S46" s="34"/>
      <c r="T46" s="34"/>
      <c r="U46" s="130"/>
      <c r="V46" s="129"/>
      <c r="W46" s="129" t="s">
        <v>384</v>
      </c>
      <c r="X46" s="129" t="s">
        <v>385</v>
      </c>
      <c r="Y46" s="130"/>
      <c r="Z46" s="130"/>
      <c r="AA46" s="130"/>
      <c r="AB46" s="126" t="s">
        <v>307</v>
      </c>
      <c r="AC46" s="130"/>
      <c r="AD46" s="130"/>
    </row>
    <row r="47" spans="1:30">
      <c r="A47" s="123"/>
      <c r="B47" s="124"/>
      <c r="C47" s="124"/>
      <c r="D47" s="124"/>
      <c r="E47" s="124"/>
      <c r="F47" s="124"/>
      <c r="G47" s="124"/>
      <c r="H47" s="124"/>
      <c r="I47" s="124"/>
      <c r="J47" s="124"/>
      <c r="K47" s="124"/>
      <c r="L47" s="123"/>
      <c r="M47" s="123"/>
      <c r="N47" s="123"/>
      <c r="O47" s="124"/>
      <c r="P47" s="125"/>
      <c r="Q47" s="34"/>
      <c r="R47" s="34"/>
      <c r="S47" s="34"/>
      <c r="T47" s="34"/>
      <c r="U47" s="130"/>
      <c r="V47" s="129"/>
      <c r="W47" s="129" t="s">
        <v>387</v>
      </c>
      <c r="X47" s="129" t="s">
        <v>388</v>
      </c>
      <c r="Y47" s="130"/>
      <c r="Z47" s="130"/>
      <c r="AA47" s="130"/>
      <c r="AB47" s="129" t="s">
        <v>508</v>
      </c>
      <c r="AC47" s="130"/>
      <c r="AD47" s="130"/>
    </row>
    <row r="48" spans="1:30">
      <c r="A48" s="123"/>
      <c r="B48" s="124"/>
      <c r="C48" s="124"/>
      <c r="D48" s="124"/>
      <c r="E48" s="124"/>
      <c r="F48" s="124"/>
      <c r="G48" s="124"/>
      <c r="H48" s="124"/>
      <c r="I48" s="124"/>
      <c r="J48" s="124"/>
      <c r="K48" s="124"/>
      <c r="L48" s="123"/>
      <c r="M48" s="123"/>
      <c r="N48" s="123"/>
      <c r="O48" s="124"/>
      <c r="P48" s="125"/>
      <c r="Q48" s="34"/>
      <c r="R48" s="34"/>
      <c r="S48" s="34"/>
      <c r="T48" s="34"/>
      <c r="U48" s="130"/>
      <c r="V48" s="129"/>
      <c r="W48" s="129" t="s">
        <v>389</v>
      </c>
      <c r="X48" s="129" t="s">
        <v>390</v>
      </c>
      <c r="Y48" s="130"/>
      <c r="Z48" s="130"/>
      <c r="AA48" s="130"/>
      <c r="AB48" s="129" t="s">
        <v>511</v>
      </c>
      <c r="AC48" s="130"/>
      <c r="AD48" s="130"/>
    </row>
    <row r="49" spans="1:30">
      <c r="A49" s="123"/>
      <c r="B49" s="124"/>
      <c r="C49" s="124"/>
      <c r="D49" s="124"/>
      <c r="E49" s="124"/>
      <c r="F49" s="124"/>
      <c r="G49" s="124"/>
      <c r="H49" s="124"/>
      <c r="I49" s="124"/>
      <c r="J49" s="124"/>
      <c r="K49" s="124"/>
      <c r="L49" s="123"/>
      <c r="M49" s="123"/>
      <c r="N49" s="123"/>
      <c r="O49" s="124"/>
      <c r="P49" s="125"/>
      <c r="Q49" s="34"/>
      <c r="R49" s="34"/>
      <c r="S49" s="34"/>
      <c r="T49" s="34"/>
      <c r="U49" s="130"/>
      <c r="V49" s="129"/>
      <c r="W49" s="129" t="s">
        <v>391</v>
      </c>
      <c r="X49" s="129" t="s">
        <v>392</v>
      </c>
      <c r="Y49" s="130"/>
      <c r="Z49" s="130"/>
      <c r="AA49" s="130"/>
      <c r="AB49" s="129" t="s">
        <v>513</v>
      </c>
      <c r="AC49" s="130"/>
      <c r="AD49" s="130"/>
    </row>
    <row r="50" spans="1:30">
      <c r="A50" s="123"/>
      <c r="B50" s="124"/>
      <c r="C50" s="124"/>
      <c r="D50" s="124"/>
      <c r="E50" s="124"/>
      <c r="F50" s="124"/>
      <c r="G50" s="124"/>
      <c r="H50" s="124"/>
      <c r="I50" s="124"/>
      <c r="J50" s="124"/>
      <c r="K50" s="124"/>
      <c r="L50" s="123"/>
      <c r="M50" s="123"/>
      <c r="N50" s="123"/>
      <c r="O50" s="124"/>
      <c r="P50" s="125"/>
      <c r="Q50" s="34"/>
      <c r="R50" s="34"/>
      <c r="S50" s="34"/>
      <c r="T50" s="34"/>
      <c r="U50" s="130"/>
      <c r="V50" s="129"/>
      <c r="W50" s="129" t="s">
        <v>393</v>
      </c>
      <c r="X50" s="129" t="s">
        <v>394</v>
      </c>
      <c r="Y50" s="130"/>
      <c r="Z50" s="130"/>
      <c r="AA50" s="130"/>
      <c r="AB50" s="126" t="s">
        <v>515</v>
      </c>
      <c r="AC50" s="130"/>
      <c r="AD50" s="130"/>
    </row>
    <row r="51" spans="1:30">
      <c r="A51" s="34"/>
      <c r="B51" s="34"/>
      <c r="C51" s="34"/>
      <c r="D51" s="34"/>
      <c r="E51" s="34"/>
      <c r="F51" s="34"/>
      <c r="G51" s="34"/>
      <c r="H51" s="34"/>
      <c r="I51" s="34"/>
      <c r="J51" s="34"/>
      <c r="K51" s="34"/>
      <c r="L51" s="34"/>
      <c r="M51" s="34"/>
      <c r="N51" s="34"/>
      <c r="O51" s="34"/>
      <c r="P51" s="34"/>
      <c r="Q51" s="34"/>
      <c r="R51" s="34"/>
      <c r="S51" s="34"/>
      <c r="T51" s="34"/>
      <c r="U51" s="130"/>
      <c r="V51" s="129"/>
      <c r="W51" s="129" t="s">
        <v>396</v>
      </c>
      <c r="X51" s="129" t="s">
        <v>397</v>
      </c>
      <c r="Y51" s="130"/>
      <c r="Z51" s="130"/>
      <c r="AA51" s="130"/>
      <c r="AB51" s="129" t="s">
        <v>517</v>
      </c>
      <c r="AC51" s="130"/>
      <c r="AD51" s="130"/>
    </row>
    <row r="52" spans="1:30">
      <c r="A52" s="34"/>
      <c r="B52" s="34"/>
      <c r="C52" s="34"/>
      <c r="D52" s="34"/>
      <c r="E52" s="34"/>
      <c r="F52" s="34"/>
      <c r="G52" s="34"/>
      <c r="H52" s="34"/>
      <c r="I52" s="34"/>
      <c r="J52" s="34"/>
      <c r="K52" s="34"/>
      <c r="L52" s="34"/>
      <c r="M52" s="34"/>
      <c r="N52" s="34"/>
      <c r="O52" s="34"/>
      <c r="P52" s="34"/>
      <c r="Q52" s="34"/>
      <c r="R52" s="34"/>
      <c r="S52" s="34"/>
      <c r="T52" s="34"/>
      <c r="U52" s="130"/>
      <c r="V52" s="129"/>
      <c r="W52" s="129" t="s">
        <v>398</v>
      </c>
      <c r="X52" s="129" t="s">
        <v>399</v>
      </c>
      <c r="Y52" s="130"/>
      <c r="Z52" s="130"/>
      <c r="AA52" s="130"/>
      <c r="AB52" s="129" t="s">
        <v>520</v>
      </c>
      <c r="AC52" s="130"/>
      <c r="AD52" s="130"/>
    </row>
    <row r="53" spans="1:30">
      <c r="A53" s="34"/>
      <c r="B53" s="34"/>
      <c r="C53" s="34"/>
      <c r="D53" s="34"/>
      <c r="E53" s="34"/>
      <c r="F53" s="34"/>
      <c r="G53" s="34"/>
      <c r="H53" s="34"/>
      <c r="I53" s="34"/>
      <c r="J53" s="34"/>
      <c r="K53" s="34"/>
      <c r="L53" s="34"/>
      <c r="M53" s="34"/>
      <c r="N53" s="34"/>
      <c r="O53" s="34"/>
      <c r="P53" s="34"/>
      <c r="Q53" s="34"/>
      <c r="R53" s="34"/>
      <c r="S53" s="34"/>
      <c r="T53" s="34"/>
      <c r="U53" s="130"/>
      <c r="V53" s="129"/>
      <c r="W53" s="129" t="s">
        <v>400</v>
      </c>
      <c r="X53" s="129" t="s">
        <v>401</v>
      </c>
      <c r="Y53" s="130"/>
      <c r="Z53" s="130"/>
      <c r="AA53" s="130"/>
      <c r="AB53" s="129" t="s">
        <v>522</v>
      </c>
      <c r="AC53" s="130"/>
      <c r="AD53" s="130"/>
    </row>
    <row r="54" spans="1:30">
      <c r="A54" s="34"/>
      <c r="B54" s="34"/>
      <c r="C54" s="34"/>
      <c r="D54" s="34"/>
      <c r="E54" s="34"/>
      <c r="F54" s="34"/>
      <c r="G54" s="34"/>
      <c r="H54" s="34"/>
      <c r="I54" s="34"/>
      <c r="J54" s="34"/>
      <c r="K54" s="34"/>
      <c r="L54" s="34"/>
      <c r="M54" s="34"/>
      <c r="N54" s="34"/>
      <c r="O54" s="34"/>
      <c r="P54" s="34"/>
      <c r="Q54" s="34"/>
      <c r="R54" s="34"/>
      <c r="S54" s="34"/>
      <c r="T54" s="34"/>
      <c r="U54" s="130"/>
      <c r="V54" s="129"/>
      <c r="W54" s="129" t="s">
        <v>402</v>
      </c>
      <c r="X54" s="129" t="s">
        <v>403</v>
      </c>
      <c r="Y54" s="130"/>
      <c r="Z54" s="130"/>
      <c r="AA54" s="130"/>
      <c r="AB54" s="129" t="s">
        <v>524</v>
      </c>
      <c r="AC54" s="130"/>
      <c r="AD54" s="130"/>
    </row>
    <row r="55" spans="1:30">
      <c r="A55" s="34"/>
      <c r="B55" s="34"/>
      <c r="C55" s="34"/>
      <c r="D55" s="34"/>
      <c r="E55" s="34"/>
      <c r="F55" s="34"/>
      <c r="G55" s="34"/>
      <c r="H55" s="34"/>
      <c r="I55" s="34"/>
      <c r="J55" s="34"/>
      <c r="K55" s="34"/>
      <c r="L55" s="34"/>
      <c r="M55" s="34"/>
      <c r="N55" s="34"/>
      <c r="O55" s="34"/>
      <c r="P55" s="34"/>
      <c r="Q55" s="34"/>
      <c r="R55" s="34"/>
      <c r="S55" s="34"/>
      <c r="T55" s="34"/>
      <c r="U55" s="130"/>
      <c r="V55" s="129"/>
      <c r="W55" s="129" t="s">
        <v>405</v>
      </c>
      <c r="X55" s="129" t="s">
        <v>406</v>
      </c>
      <c r="Y55" s="130"/>
      <c r="Z55" s="130"/>
      <c r="AA55" s="130"/>
      <c r="AB55" s="129" t="s">
        <v>529</v>
      </c>
      <c r="AC55" s="130"/>
      <c r="AD55" s="130"/>
    </row>
    <row r="56" spans="1:30">
      <c r="A56" s="34"/>
      <c r="B56" s="34"/>
      <c r="C56" s="34"/>
      <c r="D56" s="34"/>
      <c r="E56" s="34"/>
      <c r="F56" s="34"/>
      <c r="G56" s="34"/>
      <c r="H56" s="34"/>
      <c r="I56" s="34"/>
      <c r="J56" s="34"/>
      <c r="K56" s="34"/>
      <c r="L56" s="34"/>
      <c r="M56" s="34"/>
      <c r="N56" s="34"/>
      <c r="O56" s="34"/>
      <c r="P56" s="34"/>
      <c r="Q56" s="34"/>
      <c r="R56" s="34"/>
      <c r="S56" s="34"/>
      <c r="T56" s="34"/>
      <c r="U56" s="130"/>
      <c r="V56" s="129"/>
      <c r="W56" s="129" t="s">
        <v>407</v>
      </c>
      <c r="X56" s="129" t="s">
        <v>408</v>
      </c>
      <c r="Y56" s="130"/>
      <c r="Z56" s="130"/>
      <c r="AA56" s="130"/>
      <c r="AB56" s="129" t="s">
        <v>534</v>
      </c>
      <c r="AC56" s="130"/>
      <c r="AD56" s="130"/>
    </row>
    <row r="57" spans="1:30">
      <c r="A57" s="34"/>
      <c r="B57" s="34"/>
      <c r="C57" s="34"/>
      <c r="D57" s="34"/>
      <c r="E57" s="34"/>
      <c r="F57" s="34"/>
      <c r="G57" s="34"/>
      <c r="H57" s="34"/>
      <c r="I57" s="34"/>
      <c r="J57" s="34"/>
      <c r="K57" s="34"/>
      <c r="L57" s="34"/>
      <c r="M57" s="34"/>
      <c r="N57" s="34"/>
      <c r="O57" s="34"/>
      <c r="P57" s="34"/>
      <c r="Q57" s="34"/>
      <c r="R57" s="34"/>
      <c r="S57" s="34"/>
      <c r="T57" s="34"/>
      <c r="U57" s="130"/>
      <c r="V57" s="129"/>
      <c r="W57" s="129" t="s">
        <v>409</v>
      </c>
      <c r="X57" s="129" t="s">
        <v>410</v>
      </c>
      <c r="Y57" s="130"/>
      <c r="Z57" s="130"/>
      <c r="AA57" s="130"/>
      <c r="AB57" s="129" t="s">
        <v>539</v>
      </c>
      <c r="AC57" s="130"/>
      <c r="AD57" s="130"/>
    </row>
    <row r="58" spans="1:30">
      <c r="A58" s="34"/>
      <c r="B58" s="34"/>
      <c r="C58" s="34"/>
      <c r="D58" s="34"/>
      <c r="E58" s="34"/>
      <c r="F58" s="34"/>
      <c r="G58" s="34"/>
      <c r="H58" s="34"/>
      <c r="I58" s="34"/>
      <c r="J58" s="34"/>
      <c r="K58" s="34"/>
      <c r="L58" s="34"/>
      <c r="M58" s="34"/>
      <c r="N58" s="34"/>
      <c r="O58" s="34"/>
      <c r="P58" s="34"/>
      <c r="Q58" s="34"/>
      <c r="R58" s="34"/>
      <c r="S58" s="34"/>
      <c r="T58" s="34"/>
      <c r="U58" s="130"/>
      <c r="V58" s="36"/>
      <c r="W58" s="129" t="s">
        <v>411</v>
      </c>
      <c r="X58" s="129" t="s">
        <v>412</v>
      </c>
      <c r="Y58" s="130"/>
      <c r="Z58" s="130"/>
      <c r="AA58" s="130"/>
      <c r="AB58" s="129" t="s">
        <v>543</v>
      </c>
      <c r="AC58" s="130"/>
      <c r="AD58" s="130"/>
    </row>
    <row r="59" spans="1:30">
      <c r="A59" s="34"/>
      <c r="B59" s="34"/>
      <c r="C59" s="34"/>
      <c r="D59" s="34"/>
      <c r="E59" s="34"/>
      <c r="F59" s="34"/>
      <c r="G59" s="34"/>
      <c r="H59" s="34"/>
      <c r="I59" s="34"/>
      <c r="J59" s="34"/>
      <c r="K59" s="34"/>
      <c r="L59" s="34"/>
      <c r="M59" s="34"/>
      <c r="N59" s="34"/>
      <c r="O59" s="34"/>
      <c r="P59" s="34"/>
      <c r="Q59" s="34"/>
      <c r="R59" s="34"/>
      <c r="S59" s="34"/>
      <c r="T59" s="34"/>
      <c r="U59" s="130"/>
      <c r="V59" s="36"/>
      <c r="W59" s="36"/>
      <c r="X59" s="129" t="s">
        <v>414</v>
      </c>
      <c r="Y59" s="130"/>
      <c r="Z59" s="130"/>
      <c r="AA59" s="130"/>
      <c r="AB59" s="129" t="s">
        <v>548</v>
      </c>
      <c r="AC59" s="130"/>
      <c r="AD59" s="130"/>
    </row>
    <row r="60" spans="1:30">
      <c r="A60" s="34"/>
      <c r="B60" s="34"/>
      <c r="C60" s="34"/>
      <c r="D60" s="34"/>
      <c r="E60" s="34"/>
      <c r="F60" s="34"/>
      <c r="G60" s="34"/>
      <c r="H60" s="34"/>
      <c r="I60" s="34"/>
      <c r="J60" s="34"/>
      <c r="K60" s="34"/>
      <c r="L60" s="34"/>
      <c r="M60" s="34"/>
      <c r="N60" s="34"/>
      <c r="O60" s="34"/>
      <c r="P60" s="34"/>
      <c r="Q60" s="34"/>
      <c r="R60" s="34"/>
      <c r="S60" s="34"/>
      <c r="T60" s="34"/>
      <c r="U60" s="130"/>
      <c r="V60" s="36"/>
      <c r="W60" s="36"/>
      <c r="X60" s="129" t="s">
        <v>299</v>
      </c>
      <c r="Y60" s="130"/>
      <c r="Z60" s="130"/>
      <c r="AA60" s="130"/>
      <c r="AB60" s="129" t="s">
        <v>550</v>
      </c>
      <c r="AC60" s="130"/>
      <c r="AD60" s="130"/>
    </row>
    <row r="61" spans="1:30">
      <c r="A61" s="34"/>
      <c r="B61" s="34"/>
      <c r="C61" s="34"/>
      <c r="D61" s="34"/>
      <c r="E61" s="34"/>
      <c r="F61" s="34"/>
      <c r="G61" s="34"/>
      <c r="H61" s="34"/>
      <c r="I61" s="34"/>
      <c r="J61" s="34"/>
      <c r="K61" s="34"/>
      <c r="L61" s="34"/>
      <c r="M61" s="34"/>
      <c r="N61" s="34"/>
      <c r="O61" s="34"/>
      <c r="P61" s="34"/>
      <c r="Q61" s="34"/>
      <c r="R61" s="34"/>
      <c r="S61" s="34"/>
      <c r="T61" s="34"/>
      <c r="U61" s="130"/>
      <c r="V61" s="36"/>
      <c r="W61" s="36"/>
      <c r="X61" s="129" t="s">
        <v>415</v>
      </c>
      <c r="Y61" s="130"/>
      <c r="Z61" s="130"/>
      <c r="AA61" s="130"/>
      <c r="AB61" s="129" t="s">
        <v>554</v>
      </c>
      <c r="AC61" s="130"/>
      <c r="AD61" s="130"/>
    </row>
    <row r="62" spans="1:30">
      <c r="A62" s="34"/>
      <c r="B62" s="34"/>
      <c r="C62" s="34"/>
      <c r="D62" s="34"/>
      <c r="E62" s="34"/>
      <c r="F62" s="34"/>
      <c r="G62" s="34"/>
      <c r="H62" s="34"/>
      <c r="I62" s="34"/>
      <c r="J62" s="34"/>
      <c r="K62" s="34"/>
      <c r="L62" s="34"/>
      <c r="M62" s="34"/>
      <c r="N62" s="34"/>
      <c r="O62" s="34"/>
      <c r="P62" s="34"/>
      <c r="Q62" s="34"/>
      <c r="R62" s="34"/>
      <c r="S62" s="34"/>
      <c r="T62" s="34"/>
      <c r="U62" s="130"/>
      <c r="V62" s="36"/>
      <c r="W62" s="36"/>
      <c r="X62" s="129" t="s">
        <v>416</v>
      </c>
      <c r="Y62" s="130"/>
      <c r="Z62" s="130"/>
      <c r="AA62" s="130"/>
      <c r="AB62" s="129" t="s">
        <v>559</v>
      </c>
      <c r="AC62" s="130"/>
      <c r="AD62" s="130"/>
    </row>
    <row r="63" spans="1:30">
      <c r="A63" s="34"/>
      <c r="B63" s="34"/>
      <c r="C63" s="34"/>
      <c r="D63" s="34"/>
      <c r="E63" s="34"/>
      <c r="F63" s="34"/>
      <c r="G63" s="34"/>
      <c r="H63" s="34"/>
      <c r="I63" s="34"/>
      <c r="J63" s="34"/>
      <c r="K63" s="34"/>
      <c r="L63" s="34"/>
      <c r="M63" s="34"/>
      <c r="N63" s="34"/>
      <c r="O63" s="34"/>
      <c r="P63" s="34"/>
      <c r="Q63" s="34"/>
      <c r="R63" s="34"/>
      <c r="S63" s="34"/>
      <c r="T63" s="34"/>
      <c r="U63" s="130"/>
      <c r="V63" s="36"/>
      <c r="W63" s="36"/>
      <c r="X63" s="129" t="s">
        <v>313</v>
      </c>
      <c r="Y63" s="130"/>
      <c r="Z63" s="130"/>
      <c r="AA63" s="130"/>
      <c r="AB63" s="129" t="s">
        <v>231</v>
      </c>
      <c r="AC63" s="130"/>
      <c r="AD63" s="130"/>
    </row>
    <row r="64" spans="1:30">
      <c r="A64" s="34"/>
      <c r="B64" s="34"/>
      <c r="C64" s="34"/>
      <c r="D64" s="34"/>
      <c r="E64" s="34"/>
      <c r="F64" s="34"/>
      <c r="G64" s="34"/>
      <c r="H64" s="34"/>
      <c r="I64" s="34"/>
      <c r="J64" s="34"/>
      <c r="K64" s="34"/>
      <c r="L64" s="34"/>
      <c r="M64" s="34"/>
      <c r="N64" s="34"/>
      <c r="O64" s="34"/>
      <c r="P64" s="34"/>
      <c r="Q64" s="34"/>
      <c r="R64" s="34"/>
      <c r="S64" s="34"/>
      <c r="T64" s="34"/>
      <c r="U64" s="130"/>
      <c r="V64" s="36"/>
      <c r="W64" s="36"/>
      <c r="X64" s="129" t="s">
        <v>418</v>
      </c>
      <c r="Y64" s="130"/>
      <c r="Z64" s="130"/>
      <c r="AA64" s="130"/>
      <c r="AB64" s="129" t="s">
        <v>568</v>
      </c>
      <c r="AC64" s="130"/>
      <c r="AD64" s="130"/>
    </row>
    <row r="65" spans="1:30">
      <c r="A65" s="34"/>
      <c r="B65" s="34"/>
      <c r="C65" s="34"/>
      <c r="D65" s="34"/>
      <c r="E65" s="34"/>
      <c r="F65" s="34"/>
      <c r="G65" s="34"/>
      <c r="H65" s="34"/>
      <c r="I65" s="34"/>
      <c r="J65" s="34"/>
      <c r="K65" s="34"/>
      <c r="L65" s="34"/>
      <c r="M65" s="34"/>
      <c r="N65" s="34"/>
      <c r="O65" s="34"/>
      <c r="P65" s="34"/>
      <c r="Q65" s="34"/>
      <c r="R65" s="34"/>
      <c r="S65" s="34"/>
      <c r="T65" s="34"/>
      <c r="U65" s="130"/>
      <c r="V65" s="36"/>
      <c r="W65" s="36"/>
      <c r="X65" s="129" t="s">
        <v>420</v>
      </c>
      <c r="Y65" s="130"/>
      <c r="Z65" s="130"/>
      <c r="AA65" s="130"/>
      <c r="AB65" s="129" t="s">
        <v>573</v>
      </c>
      <c r="AC65" s="130"/>
      <c r="AD65" s="130"/>
    </row>
    <row r="66" spans="1:30">
      <c r="A66" s="34"/>
      <c r="B66" s="34"/>
      <c r="C66" s="34"/>
      <c r="D66" s="34"/>
      <c r="E66" s="34"/>
      <c r="F66" s="34"/>
      <c r="G66" s="34"/>
      <c r="H66" s="34"/>
      <c r="I66" s="34"/>
      <c r="J66" s="34"/>
      <c r="K66" s="34"/>
      <c r="L66" s="34"/>
      <c r="M66" s="34"/>
      <c r="N66" s="34"/>
      <c r="O66" s="34"/>
      <c r="P66" s="34"/>
      <c r="Q66" s="34"/>
      <c r="R66" s="34"/>
      <c r="S66" s="34"/>
      <c r="T66" s="34"/>
      <c r="U66" s="130"/>
      <c r="V66" s="36"/>
      <c r="W66" s="36"/>
      <c r="X66" s="129" t="s">
        <v>421</v>
      </c>
      <c r="Y66" s="130"/>
      <c r="Z66" s="130"/>
      <c r="AA66" s="130"/>
      <c r="AB66" s="129"/>
      <c r="AC66" s="130"/>
      <c r="AD66" s="130"/>
    </row>
    <row r="67" spans="1:30">
      <c r="A67" s="34"/>
      <c r="B67" s="34"/>
      <c r="C67" s="34"/>
      <c r="D67" s="34"/>
      <c r="E67" s="34"/>
      <c r="F67" s="34"/>
      <c r="G67" s="34"/>
      <c r="H67" s="34"/>
      <c r="I67" s="34"/>
      <c r="J67" s="34"/>
      <c r="K67" s="34"/>
      <c r="L67" s="34"/>
      <c r="M67" s="34"/>
      <c r="N67" s="34"/>
      <c r="O67" s="34"/>
      <c r="P67" s="34"/>
      <c r="Q67" s="34"/>
      <c r="R67" s="34"/>
      <c r="S67" s="34"/>
      <c r="T67" s="34"/>
      <c r="U67" s="130"/>
      <c r="V67" s="36"/>
      <c r="W67" s="36"/>
      <c r="X67" s="129" t="s">
        <v>423</v>
      </c>
      <c r="Y67" s="130"/>
      <c r="Z67" s="130"/>
      <c r="AA67" s="130"/>
      <c r="AB67" s="129"/>
      <c r="AC67" s="130"/>
      <c r="AD67" s="130"/>
    </row>
    <row r="68" spans="1:30">
      <c r="A68" s="34"/>
      <c r="B68" s="34"/>
      <c r="C68" s="34"/>
      <c r="D68" s="34"/>
      <c r="E68" s="34"/>
      <c r="F68" s="34"/>
      <c r="G68" s="34"/>
      <c r="H68" s="34"/>
      <c r="I68" s="34"/>
      <c r="J68" s="34"/>
      <c r="K68" s="34"/>
      <c r="L68" s="34"/>
      <c r="M68" s="34"/>
      <c r="N68" s="34"/>
      <c r="O68" s="34"/>
      <c r="P68" s="34"/>
      <c r="Q68" s="34"/>
      <c r="R68" s="34"/>
      <c r="S68" s="34"/>
      <c r="T68" s="34"/>
      <c r="U68" s="130"/>
      <c r="V68" s="36"/>
      <c r="W68" s="36"/>
      <c r="X68" s="129" t="s">
        <v>424</v>
      </c>
      <c r="Y68" s="130"/>
      <c r="Z68" s="130"/>
      <c r="AA68" s="130"/>
      <c r="AB68" s="129"/>
      <c r="AC68" s="130"/>
      <c r="AD68" s="130"/>
    </row>
    <row r="69" spans="1:30">
      <c r="A69" s="34"/>
      <c r="B69" s="34"/>
      <c r="C69" s="34"/>
      <c r="D69" s="34"/>
      <c r="E69" s="34"/>
      <c r="F69" s="34"/>
      <c r="G69" s="34"/>
      <c r="H69" s="34"/>
      <c r="I69" s="34"/>
      <c r="J69" s="34"/>
      <c r="K69" s="34"/>
      <c r="L69" s="34"/>
      <c r="M69" s="34"/>
      <c r="N69" s="34"/>
      <c r="O69" s="34"/>
      <c r="P69" s="34"/>
      <c r="Q69" s="34"/>
      <c r="R69" s="34"/>
      <c r="S69" s="34"/>
      <c r="T69" s="34"/>
      <c r="U69" s="130"/>
      <c r="V69" s="36"/>
      <c r="W69" s="36"/>
      <c r="X69" s="129" t="s">
        <v>424</v>
      </c>
      <c r="Y69" s="130"/>
      <c r="Z69" s="130"/>
      <c r="AA69" s="130"/>
      <c r="AB69" s="129"/>
      <c r="AC69" s="130"/>
      <c r="AD69" s="130"/>
    </row>
    <row r="70" spans="1:30">
      <c r="A70" s="34"/>
      <c r="B70" s="34"/>
      <c r="C70" s="34"/>
      <c r="D70" s="34"/>
      <c r="E70" s="34"/>
      <c r="F70" s="34"/>
      <c r="G70" s="34"/>
      <c r="H70" s="34"/>
      <c r="I70" s="34"/>
      <c r="J70" s="34"/>
      <c r="K70" s="34"/>
      <c r="L70" s="34"/>
      <c r="M70" s="34"/>
      <c r="N70" s="34"/>
      <c r="O70" s="34"/>
      <c r="P70" s="34"/>
      <c r="Q70" s="34"/>
      <c r="R70" s="34"/>
      <c r="S70" s="34"/>
      <c r="T70" s="34"/>
      <c r="U70" s="130"/>
      <c r="V70" s="36"/>
      <c r="W70" s="36"/>
      <c r="X70" s="129" t="s">
        <v>427</v>
      </c>
      <c r="Y70" s="130"/>
      <c r="Z70" s="130"/>
      <c r="AA70" s="130"/>
      <c r="AB70" s="129"/>
      <c r="AC70" s="130"/>
      <c r="AD70" s="130"/>
    </row>
    <row r="71" spans="1:30">
      <c r="A71" s="34"/>
      <c r="B71" s="34"/>
      <c r="C71" s="34"/>
      <c r="D71" s="34"/>
      <c r="E71" s="34"/>
      <c r="F71" s="34"/>
      <c r="G71" s="34"/>
      <c r="H71" s="34"/>
      <c r="I71" s="34"/>
      <c r="J71" s="34"/>
      <c r="K71" s="34"/>
      <c r="L71" s="34"/>
      <c r="M71" s="34"/>
      <c r="N71" s="34"/>
      <c r="O71" s="34"/>
      <c r="P71" s="34"/>
      <c r="Q71" s="34"/>
      <c r="R71" s="34"/>
      <c r="S71" s="34"/>
      <c r="T71" s="34"/>
      <c r="U71" s="130"/>
      <c r="V71" s="36"/>
      <c r="W71" s="36"/>
      <c r="X71" s="129" t="s">
        <v>428</v>
      </c>
      <c r="Y71" s="130"/>
      <c r="Z71" s="130"/>
      <c r="AA71" s="130"/>
      <c r="AB71" s="129"/>
      <c r="AC71" s="130"/>
      <c r="AD71" s="130"/>
    </row>
    <row r="72" spans="1:30">
      <c r="A72" s="34"/>
      <c r="B72" s="34"/>
      <c r="C72" s="34"/>
      <c r="D72" s="34"/>
      <c r="E72" s="34"/>
      <c r="F72" s="34"/>
      <c r="G72" s="34"/>
      <c r="H72" s="34"/>
      <c r="I72" s="34"/>
      <c r="J72" s="34"/>
      <c r="K72" s="34"/>
      <c r="L72" s="34"/>
      <c r="M72" s="34"/>
      <c r="N72" s="34"/>
      <c r="O72" s="34"/>
      <c r="P72" s="34"/>
      <c r="Q72" s="34"/>
      <c r="R72" s="34"/>
      <c r="S72" s="34"/>
      <c r="T72" s="34"/>
      <c r="U72" s="130"/>
      <c r="V72" s="36"/>
      <c r="W72" s="36"/>
      <c r="X72" s="129" t="s">
        <v>429</v>
      </c>
      <c r="Y72" s="130"/>
      <c r="Z72" s="130"/>
      <c r="AA72" s="130"/>
      <c r="AB72" s="129"/>
      <c r="AC72" s="130"/>
      <c r="AD72" s="130"/>
    </row>
    <row r="73" spans="1:30">
      <c r="A73" s="34"/>
      <c r="B73" s="34"/>
      <c r="C73" s="34"/>
      <c r="D73" s="34"/>
      <c r="E73" s="34"/>
      <c r="F73" s="34"/>
      <c r="G73" s="34"/>
      <c r="H73" s="34"/>
      <c r="I73" s="34"/>
      <c r="J73" s="34"/>
      <c r="K73" s="34"/>
      <c r="L73" s="34"/>
      <c r="M73" s="34"/>
      <c r="N73" s="34"/>
      <c r="O73" s="34"/>
      <c r="P73" s="34"/>
      <c r="Q73" s="34"/>
      <c r="R73" s="34"/>
      <c r="S73" s="34"/>
      <c r="T73" s="34"/>
      <c r="U73" s="130"/>
      <c r="V73" s="36"/>
      <c r="W73" s="36"/>
      <c r="X73" s="129" t="s">
        <v>430</v>
      </c>
      <c r="Y73" s="130"/>
      <c r="Z73" s="130"/>
      <c r="AA73" s="130"/>
      <c r="AB73" s="129"/>
      <c r="AC73" s="130"/>
      <c r="AD73" s="130"/>
    </row>
    <row r="74" spans="1:30">
      <c r="A74" s="34"/>
      <c r="B74" s="34"/>
      <c r="C74" s="34"/>
      <c r="D74" s="34"/>
      <c r="E74" s="34"/>
      <c r="F74" s="34"/>
      <c r="G74" s="34"/>
      <c r="H74" s="34"/>
      <c r="I74" s="34"/>
      <c r="J74" s="34"/>
      <c r="K74" s="34"/>
      <c r="L74" s="34"/>
      <c r="M74" s="34"/>
      <c r="N74" s="34"/>
      <c r="O74" s="34"/>
      <c r="P74" s="34"/>
      <c r="Q74" s="34"/>
      <c r="R74" s="34"/>
      <c r="S74" s="34"/>
      <c r="T74" s="34"/>
      <c r="U74" s="130"/>
      <c r="V74" s="36"/>
      <c r="W74" s="36"/>
      <c r="X74" s="129" t="s">
        <v>318</v>
      </c>
      <c r="Y74" s="130"/>
      <c r="Z74" s="130"/>
      <c r="AA74" s="130"/>
      <c r="AB74" s="129"/>
      <c r="AC74" s="130"/>
      <c r="AD74" s="130"/>
    </row>
    <row r="75" spans="1:30">
      <c r="A75" s="34"/>
      <c r="B75" s="34"/>
      <c r="C75" s="34"/>
      <c r="D75" s="34"/>
      <c r="E75" s="34"/>
      <c r="F75" s="34"/>
      <c r="G75" s="34"/>
      <c r="H75" s="34"/>
      <c r="I75" s="34"/>
      <c r="J75" s="34"/>
      <c r="K75" s="34"/>
      <c r="L75" s="34"/>
      <c r="M75" s="34"/>
      <c r="N75" s="34"/>
      <c r="O75" s="34"/>
      <c r="P75" s="34"/>
      <c r="Q75" s="34"/>
      <c r="R75" s="34"/>
      <c r="S75" s="34"/>
      <c r="T75" s="34"/>
      <c r="U75" s="130"/>
      <c r="V75" s="36"/>
      <c r="W75" s="36"/>
      <c r="X75" s="129" t="s">
        <v>432</v>
      </c>
      <c r="Y75" s="130"/>
      <c r="Z75" s="130"/>
      <c r="AA75" s="130"/>
      <c r="AB75" s="129"/>
      <c r="AC75" s="130"/>
      <c r="AD75" s="130"/>
    </row>
    <row r="76" spans="1:30">
      <c r="A76" s="34"/>
      <c r="B76" s="34"/>
      <c r="C76" s="34"/>
      <c r="D76" s="34"/>
      <c r="E76" s="34"/>
      <c r="F76" s="34"/>
      <c r="G76" s="34"/>
      <c r="H76" s="34"/>
      <c r="I76" s="34"/>
      <c r="J76" s="34"/>
      <c r="K76" s="34"/>
      <c r="L76" s="34"/>
      <c r="M76" s="34"/>
      <c r="N76" s="34"/>
      <c r="O76" s="34"/>
      <c r="P76" s="34"/>
      <c r="Q76" s="34"/>
      <c r="R76" s="34"/>
      <c r="S76" s="34"/>
      <c r="T76" s="34"/>
      <c r="U76" s="130"/>
      <c r="V76" s="36"/>
      <c r="W76" s="36"/>
      <c r="X76" s="129" t="s">
        <v>433</v>
      </c>
      <c r="Y76" s="130"/>
      <c r="Z76" s="130"/>
      <c r="AA76" s="130"/>
      <c r="AB76" s="129"/>
      <c r="AC76" s="130"/>
      <c r="AD76" s="130"/>
    </row>
    <row r="77" spans="1:30">
      <c r="A77" s="34"/>
      <c r="B77" s="34"/>
      <c r="C77" s="34"/>
      <c r="D77" s="34"/>
      <c r="E77" s="34"/>
      <c r="F77" s="34"/>
      <c r="G77" s="34"/>
      <c r="H77" s="34"/>
      <c r="I77" s="34"/>
      <c r="J77" s="34"/>
      <c r="K77" s="34"/>
      <c r="L77" s="34"/>
      <c r="M77" s="34"/>
      <c r="N77" s="34"/>
      <c r="O77" s="34"/>
      <c r="P77" s="34"/>
      <c r="Q77" s="34"/>
      <c r="R77" s="34"/>
      <c r="S77" s="34"/>
      <c r="T77" s="34"/>
      <c r="U77" s="130"/>
      <c r="V77" s="36"/>
      <c r="W77" s="36"/>
      <c r="X77" s="129" t="s">
        <v>434</v>
      </c>
      <c r="Y77" s="130"/>
      <c r="Z77" s="130"/>
      <c r="AA77" s="130"/>
      <c r="AB77" s="129"/>
      <c r="AC77" s="130"/>
      <c r="AD77" s="130"/>
    </row>
    <row r="78" spans="1:30">
      <c r="A78" s="34"/>
      <c r="B78" s="34"/>
      <c r="C78" s="34"/>
      <c r="D78" s="34"/>
      <c r="E78" s="34"/>
      <c r="F78" s="34"/>
      <c r="G78" s="34"/>
      <c r="H78" s="34"/>
      <c r="I78" s="34"/>
      <c r="J78" s="34"/>
      <c r="K78" s="34"/>
      <c r="L78" s="34"/>
      <c r="M78" s="34"/>
      <c r="N78" s="34"/>
      <c r="O78" s="34"/>
      <c r="P78" s="34"/>
      <c r="Q78" s="34"/>
      <c r="R78" s="34"/>
      <c r="S78" s="34"/>
      <c r="T78" s="34"/>
      <c r="U78" s="130"/>
      <c r="V78" s="36"/>
      <c r="W78" s="36"/>
      <c r="X78" s="129" t="s">
        <v>436</v>
      </c>
      <c r="Y78" s="130"/>
      <c r="Z78" s="130"/>
      <c r="AA78" s="130"/>
      <c r="AB78" s="129"/>
      <c r="AC78" s="130"/>
      <c r="AD78" s="130"/>
    </row>
    <row r="79" spans="1:30">
      <c r="A79" s="34"/>
      <c r="B79" s="34"/>
      <c r="C79" s="34"/>
      <c r="D79" s="34"/>
      <c r="E79" s="34"/>
      <c r="F79" s="34"/>
      <c r="G79" s="34"/>
      <c r="H79" s="34"/>
      <c r="I79" s="34"/>
      <c r="J79" s="34"/>
      <c r="K79" s="34"/>
      <c r="L79" s="34"/>
      <c r="M79" s="34"/>
      <c r="N79" s="34"/>
      <c r="O79" s="34"/>
      <c r="P79" s="34"/>
      <c r="Q79" s="34"/>
      <c r="R79" s="34"/>
      <c r="S79" s="34"/>
      <c r="T79" s="34"/>
      <c r="U79" s="130"/>
      <c r="V79" s="36"/>
      <c r="W79" s="36"/>
      <c r="X79" s="129" t="s">
        <v>438</v>
      </c>
      <c r="Y79" s="130"/>
      <c r="Z79" s="130"/>
      <c r="AA79" s="130"/>
      <c r="AB79" s="129"/>
      <c r="AC79" s="130"/>
      <c r="AD79" s="130"/>
    </row>
    <row r="80" spans="1:30">
      <c r="A80" s="34"/>
      <c r="B80" s="34"/>
      <c r="C80" s="34"/>
      <c r="D80" s="34"/>
      <c r="E80" s="34"/>
      <c r="F80" s="34"/>
      <c r="G80" s="34"/>
      <c r="H80" s="34"/>
      <c r="I80" s="34"/>
      <c r="J80" s="34"/>
      <c r="K80" s="34"/>
      <c r="L80" s="34"/>
      <c r="M80" s="34"/>
      <c r="N80" s="34"/>
      <c r="O80" s="34"/>
      <c r="P80" s="34"/>
      <c r="Q80" s="34"/>
      <c r="R80" s="34"/>
      <c r="S80" s="34"/>
      <c r="T80" s="34"/>
      <c r="U80" s="130"/>
      <c r="V80" s="36"/>
      <c r="W80" s="36"/>
      <c r="X80" s="129" t="s">
        <v>439</v>
      </c>
      <c r="Y80" s="130"/>
      <c r="Z80" s="130"/>
      <c r="AA80" s="130"/>
      <c r="AB80" s="129"/>
      <c r="AC80" s="130"/>
      <c r="AD80" s="130"/>
    </row>
    <row r="81" spans="1:30">
      <c r="A81" s="34"/>
      <c r="B81" s="34"/>
      <c r="C81" s="34"/>
      <c r="D81" s="34"/>
      <c r="E81" s="34"/>
      <c r="F81" s="34"/>
      <c r="G81" s="34"/>
      <c r="H81" s="34"/>
      <c r="I81" s="34"/>
      <c r="J81" s="34"/>
      <c r="K81" s="34"/>
      <c r="L81" s="34"/>
      <c r="M81" s="34"/>
      <c r="N81" s="34"/>
      <c r="O81" s="34"/>
      <c r="P81" s="34"/>
      <c r="Q81" s="34"/>
      <c r="R81" s="34"/>
      <c r="S81" s="34"/>
      <c r="T81" s="34"/>
      <c r="U81" s="130"/>
      <c r="V81" s="36"/>
      <c r="W81" s="36"/>
      <c r="X81" s="129" t="s">
        <v>440</v>
      </c>
      <c r="Y81" s="130"/>
      <c r="Z81" s="130"/>
      <c r="AA81" s="130"/>
      <c r="AB81" s="129"/>
      <c r="AC81" s="130"/>
      <c r="AD81" s="130"/>
    </row>
    <row r="82" spans="1:30">
      <c r="A82" s="34"/>
      <c r="B82" s="34"/>
      <c r="C82" s="34"/>
      <c r="D82" s="34"/>
      <c r="E82" s="34"/>
      <c r="F82" s="34"/>
      <c r="G82" s="34"/>
      <c r="H82" s="34"/>
      <c r="I82" s="34"/>
      <c r="J82" s="34"/>
      <c r="K82" s="34"/>
      <c r="L82" s="34"/>
      <c r="M82" s="34"/>
      <c r="N82" s="34"/>
      <c r="O82" s="34"/>
      <c r="P82" s="34"/>
      <c r="Q82" s="34"/>
      <c r="R82" s="34"/>
      <c r="S82" s="34"/>
      <c r="T82" s="34"/>
      <c r="U82" s="130"/>
      <c r="V82" s="36"/>
      <c r="W82" s="36"/>
      <c r="X82" s="129" t="s">
        <v>441</v>
      </c>
      <c r="Y82" s="130"/>
      <c r="Z82" s="130"/>
      <c r="AA82" s="130"/>
      <c r="AB82" s="129"/>
      <c r="AC82" s="130"/>
      <c r="AD82" s="130"/>
    </row>
    <row r="83" spans="1:30">
      <c r="A83" s="34"/>
      <c r="B83" s="34"/>
      <c r="C83" s="34"/>
      <c r="D83" s="34"/>
      <c r="E83" s="34"/>
      <c r="F83" s="34"/>
      <c r="G83" s="34"/>
      <c r="H83" s="34"/>
      <c r="I83" s="34"/>
      <c r="J83" s="34"/>
      <c r="K83" s="34"/>
      <c r="L83" s="34"/>
      <c r="M83" s="34"/>
      <c r="N83" s="34"/>
      <c r="O83" s="34"/>
      <c r="P83" s="34"/>
      <c r="Q83" s="34"/>
      <c r="R83" s="34"/>
      <c r="S83" s="34"/>
      <c r="T83" s="34"/>
      <c r="U83" s="130"/>
      <c r="V83" s="36"/>
      <c r="W83" s="36"/>
      <c r="X83" s="129" t="s">
        <v>443</v>
      </c>
      <c r="Y83" s="130"/>
      <c r="Z83" s="130"/>
      <c r="AA83" s="130"/>
      <c r="AB83" s="129"/>
      <c r="AC83" s="130"/>
      <c r="AD83" s="130"/>
    </row>
    <row r="84" spans="1:30">
      <c r="A84" s="34"/>
      <c r="B84" s="34"/>
      <c r="C84" s="34"/>
      <c r="D84" s="34"/>
      <c r="E84" s="34"/>
      <c r="F84" s="34"/>
      <c r="G84" s="34"/>
      <c r="H84" s="34"/>
      <c r="I84" s="34"/>
      <c r="J84" s="34"/>
      <c r="K84" s="34"/>
      <c r="L84" s="34"/>
      <c r="M84" s="34"/>
      <c r="N84" s="34"/>
      <c r="O84" s="34"/>
      <c r="P84" s="34"/>
      <c r="Q84" s="34"/>
      <c r="R84" s="34"/>
      <c r="S84" s="34"/>
      <c r="T84" s="34"/>
      <c r="U84" s="130"/>
      <c r="V84" s="36"/>
      <c r="W84" s="36"/>
      <c r="X84" s="129" t="s">
        <v>444</v>
      </c>
      <c r="Y84" s="130"/>
      <c r="Z84" s="130"/>
      <c r="AA84" s="130"/>
      <c r="AB84" s="129"/>
      <c r="AC84" s="130"/>
      <c r="AD84" s="130"/>
    </row>
    <row r="85" spans="1:30">
      <c r="A85" s="34"/>
      <c r="B85" s="34"/>
      <c r="C85" s="34"/>
      <c r="D85" s="34"/>
      <c r="E85" s="34"/>
      <c r="F85" s="34"/>
      <c r="G85" s="34"/>
      <c r="H85" s="34"/>
      <c r="I85" s="34"/>
      <c r="J85" s="34"/>
      <c r="K85" s="34"/>
      <c r="L85" s="34"/>
      <c r="M85" s="34"/>
      <c r="N85" s="34"/>
      <c r="O85" s="34"/>
      <c r="P85" s="34"/>
      <c r="Q85" s="34"/>
      <c r="R85" s="34"/>
      <c r="S85" s="34"/>
      <c r="T85" s="34"/>
      <c r="U85" s="130"/>
      <c r="V85" s="36"/>
      <c r="W85" s="36"/>
      <c r="X85" s="129" t="s">
        <v>445</v>
      </c>
      <c r="Y85" s="130"/>
      <c r="Z85" s="130"/>
      <c r="AA85" s="130"/>
      <c r="AB85" s="129"/>
      <c r="AC85" s="130"/>
      <c r="AD85" s="130"/>
    </row>
    <row r="86" spans="1:30">
      <c r="A86" s="34"/>
      <c r="B86" s="34"/>
      <c r="C86" s="34"/>
      <c r="D86" s="34"/>
      <c r="E86" s="34"/>
      <c r="F86" s="34"/>
      <c r="G86" s="34"/>
      <c r="H86" s="34"/>
      <c r="I86" s="34"/>
      <c r="J86" s="34"/>
      <c r="K86" s="34"/>
      <c r="L86" s="34"/>
      <c r="M86" s="34"/>
      <c r="N86" s="34"/>
      <c r="O86" s="34"/>
      <c r="P86" s="34"/>
      <c r="Q86" s="34"/>
      <c r="R86" s="34"/>
      <c r="S86" s="34"/>
      <c r="T86" s="34"/>
      <c r="U86" s="130"/>
      <c r="V86" s="36"/>
      <c r="W86" s="36"/>
      <c r="X86" s="129" t="s">
        <v>446</v>
      </c>
      <c r="Y86" s="130"/>
      <c r="Z86" s="130"/>
      <c r="AA86" s="130"/>
      <c r="AB86" s="129"/>
      <c r="AC86" s="130"/>
      <c r="AD86" s="130"/>
    </row>
    <row r="87" spans="1:30">
      <c r="A87" s="34"/>
      <c r="B87" s="34"/>
      <c r="C87" s="34"/>
      <c r="D87" s="34"/>
      <c r="E87" s="34"/>
      <c r="F87" s="34"/>
      <c r="G87" s="34"/>
      <c r="H87" s="34"/>
      <c r="I87" s="34"/>
      <c r="J87" s="34"/>
      <c r="K87" s="34"/>
      <c r="L87" s="34"/>
      <c r="M87" s="34"/>
      <c r="N87" s="34"/>
      <c r="O87" s="34"/>
      <c r="P87" s="34"/>
      <c r="Q87" s="34"/>
      <c r="R87" s="34"/>
      <c r="S87" s="34"/>
      <c r="T87" s="34"/>
      <c r="U87" s="130"/>
      <c r="V87" s="36"/>
      <c r="W87" s="36"/>
      <c r="X87" s="129" t="s">
        <v>448</v>
      </c>
      <c r="Y87" s="130"/>
      <c r="Z87" s="130"/>
      <c r="AA87" s="130"/>
      <c r="AB87" s="129"/>
      <c r="AC87" s="130"/>
      <c r="AD87" s="130"/>
    </row>
    <row r="88" spans="1:30">
      <c r="A88" s="34"/>
      <c r="B88" s="34"/>
      <c r="C88" s="34"/>
      <c r="D88" s="34"/>
      <c r="E88" s="34"/>
      <c r="F88" s="34"/>
      <c r="G88" s="34"/>
      <c r="H88" s="34"/>
      <c r="I88" s="34"/>
      <c r="J88" s="34"/>
      <c r="K88" s="34"/>
      <c r="L88" s="34"/>
      <c r="M88" s="34"/>
      <c r="N88" s="34"/>
      <c r="O88" s="34"/>
      <c r="P88" s="34"/>
      <c r="Q88" s="34"/>
      <c r="R88" s="34"/>
      <c r="S88" s="34"/>
      <c r="T88" s="34"/>
      <c r="U88" s="130"/>
      <c r="V88" s="36"/>
      <c r="W88" s="36"/>
      <c r="X88" s="129" t="s">
        <v>449</v>
      </c>
      <c r="Y88" s="130"/>
      <c r="Z88" s="130"/>
      <c r="AA88" s="130"/>
      <c r="AB88" s="129"/>
      <c r="AC88" s="130"/>
      <c r="AD88" s="130"/>
    </row>
    <row r="89" spans="1:30">
      <c r="A89" s="34"/>
      <c r="B89" s="34"/>
      <c r="C89" s="34"/>
      <c r="D89" s="34"/>
      <c r="E89" s="34"/>
      <c r="F89" s="34"/>
      <c r="G89" s="34"/>
      <c r="H89" s="34"/>
      <c r="I89" s="34"/>
      <c r="J89" s="34"/>
      <c r="K89" s="34"/>
      <c r="L89" s="34"/>
      <c r="M89" s="34"/>
      <c r="N89" s="34"/>
      <c r="O89" s="34"/>
      <c r="P89" s="34"/>
      <c r="Q89" s="34"/>
      <c r="R89" s="34"/>
      <c r="S89" s="34"/>
      <c r="T89" s="34"/>
      <c r="U89" s="130"/>
      <c r="V89" s="36"/>
      <c r="W89" s="36"/>
      <c r="X89" s="129" t="s">
        <v>450</v>
      </c>
      <c r="Y89" s="130"/>
      <c r="Z89" s="130"/>
      <c r="AA89" s="130"/>
      <c r="AB89" s="129"/>
      <c r="AC89" s="130"/>
      <c r="AD89" s="130"/>
    </row>
    <row r="90" spans="1:30">
      <c r="A90" s="34"/>
      <c r="B90" s="34"/>
      <c r="C90" s="34"/>
      <c r="D90" s="34"/>
      <c r="E90" s="34"/>
      <c r="F90" s="34"/>
      <c r="G90" s="34"/>
      <c r="H90" s="34"/>
      <c r="I90" s="34"/>
      <c r="J90" s="34"/>
      <c r="K90" s="34"/>
      <c r="L90" s="34"/>
      <c r="M90" s="34"/>
      <c r="N90" s="34"/>
      <c r="O90" s="34"/>
      <c r="P90" s="34"/>
      <c r="Q90" s="34"/>
      <c r="R90" s="34"/>
      <c r="S90" s="34"/>
      <c r="T90" s="34"/>
      <c r="U90" s="130"/>
      <c r="V90" s="36"/>
      <c r="W90" s="36"/>
      <c r="X90" s="129" t="s">
        <v>338</v>
      </c>
      <c r="Y90" s="130"/>
      <c r="Z90" s="130"/>
      <c r="AA90" s="130"/>
      <c r="AB90" s="129"/>
      <c r="AC90" s="130"/>
      <c r="AD90" s="130"/>
    </row>
    <row r="91" spans="1:30">
      <c r="A91" s="34"/>
      <c r="B91" s="34"/>
      <c r="C91" s="34"/>
      <c r="D91" s="34"/>
      <c r="E91" s="34"/>
      <c r="F91" s="34"/>
      <c r="G91" s="34"/>
      <c r="H91" s="34"/>
      <c r="I91" s="34"/>
      <c r="J91" s="34"/>
      <c r="K91" s="34"/>
      <c r="L91" s="34"/>
      <c r="M91" s="34"/>
      <c r="N91" s="34"/>
      <c r="O91" s="34"/>
      <c r="P91" s="34"/>
      <c r="Q91" s="34"/>
      <c r="R91" s="34"/>
      <c r="S91" s="34"/>
      <c r="T91" s="34"/>
      <c r="U91" s="130"/>
      <c r="V91" s="36"/>
      <c r="W91" s="36"/>
      <c r="X91" s="129" t="s">
        <v>452</v>
      </c>
      <c r="Y91" s="130"/>
      <c r="Z91" s="130"/>
      <c r="AA91" s="130"/>
      <c r="AB91" s="129"/>
      <c r="AC91" s="130"/>
      <c r="AD91" s="130"/>
    </row>
    <row r="92" spans="1:30">
      <c r="A92" s="34"/>
      <c r="B92" s="34"/>
      <c r="C92" s="34"/>
      <c r="D92" s="34"/>
      <c r="E92" s="34"/>
      <c r="F92" s="34"/>
      <c r="G92" s="34"/>
      <c r="H92" s="34"/>
      <c r="I92" s="34"/>
      <c r="J92" s="34"/>
      <c r="K92" s="34"/>
      <c r="L92" s="34"/>
      <c r="M92" s="34"/>
      <c r="N92" s="34"/>
      <c r="O92" s="34"/>
      <c r="P92" s="34"/>
      <c r="Q92" s="34"/>
      <c r="R92" s="34"/>
      <c r="S92" s="34"/>
      <c r="T92" s="34"/>
      <c r="U92" s="130"/>
      <c r="V92" s="36"/>
      <c r="W92" s="36"/>
      <c r="X92" s="129" t="s">
        <v>453</v>
      </c>
      <c r="Y92" s="130"/>
      <c r="Z92" s="130"/>
      <c r="AA92" s="130"/>
      <c r="AB92" s="129"/>
      <c r="AC92" s="130"/>
      <c r="AD92" s="130"/>
    </row>
    <row r="93" spans="1:30">
      <c r="A93" s="34"/>
      <c r="B93" s="34"/>
      <c r="C93" s="34"/>
      <c r="D93" s="34"/>
      <c r="E93" s="34"/>
      <c r="F93" s="34"/>
      <c r="G93" s="34"/>
      <c r="H93" s="34"/>
      <c r="I93" s="34"/>
      <c r="J93" s="34"/>
      <c r="K93" s="34"/>
      <c r="L93" s="34"/>
      <c r="M93" s="34"/>
      <c r="N93" s="34"/>
      <c r="O93" s="34"/>
      <c r="P93" s="34"/>
      <c r="Q93" s="34"/>
      <c r="R93" s="34"/>
      <c r="S93" s="34"/>
      <c r="T93" s="34"/>
      <c r="U93" s="130"/>
      <c r="V93" s="36"/>
      <c r="W93" s="36"/>
      <c r="X93" s="129" t="s">
        <v>454</v>
      </c>
      <c r="Y93" s="130"/>
      <c r="Z93" s="130"/>
      <c r="AA93" s="130"/>
      <c r="AB93" s="129"/>
      <c r="AC93" s="130"/>
      <c r="AD93" s="130"/>
    </row>
    <row r="94" spans="1:30">
      <c r="A94" s="34"/>
      <c r="B94" s="34"/>
      <c r="C94" s="34"/>
      <c r="D94" s="34"/>
      <c r="E94" s="34"/>
      <c r="F94" s="34"/>
      <c r="G94" s="34"/>
      <c r="H94" s="34"/>
      <c r="I94" s="34"/>
      <c r="J94" s="34"/>
      <c r="K94" s="34"/>
      <c r="L94" s="34"/>
      <c r="M94" s="34"/>
      <c r="N94" s="34"/>
      <c r="O94" s="34"/>
      <c r="P94" s="34"/>
      <c r="Q94" s="34"/>
      <c r="R94" s="34"/>
      <c r="S94" s="34"/>
      <c r="T94" s="34"/>
      <c r="U94" s="130"/>
      <c r="V94" s="36"/>
      <c r="W94" s="36"/>
      <c r="X94" s="129" t="s">
        <v>455</v>
      </c>
      <c r="Y94" s="130"/>
      <c r="Z94" s="130"/>
      <c r="AA94" s="130"/>
      <c r="AB94" s="129"/>
      <c r="AC94" s="130"/>
      <c r="AD94" s="130"/>
    </row>
    <row r="95" spans="1:30">
      <c r="A95" s="34"/>
      <c r="B95" s="34"/>
      <c r="C95" s="34"/>
      <c r="D95" s="34"/>
      <c r="E95" s="34"/>
      <c r="F95" s="34"/>
      <c r="G95" s="34"/>
      <c r="H95" s="34"/>
      <c r="I95" s="34"/>
      <c r="J95" s="34"/>
      <c r="K95" s="34"/>
      <c r="L95" s="34"/>
      <c r="M95" s="34"/>
      <c r="N95" s="34"/>
      <c r="O95" s="34"/>
      <c r="P95" s="34"/>
      <c r="Q95" s="34"/>
      <c r="R95" s="34"/>
      <c r="S95" s="34"/>
      <c r="T95" s="34"/>
      <c r="U95" s="130"/>
      <c r="V95" s="36"/>
      <c r="W95" s="36"/>
      <c r="X95" s="129" t="s">
        <v>457</v>
      </c>
      <c r="Y95" s="130"/>
      <c r="Z95" s="130"/>
      <c r="AA95" s="130"/>
      <c r="AB95" s="129"/>
      <c r="AC95" s="130"/>
      <c r="AD95" s="130"/>
    </row>
    <row r="96" spans="1:30">
      <c r="A96" s="34"/>
      <c r="B96" s="34"/>
      <c r="C96" s="34"/>
      <c r="D96" s="34"/>
      <c r="E96" s="34"/>
      <c r="F96" s="34"/>
      <c r="G96" s="34"/>
      <c r="H96" s="34"/>
      <c r="I96" s="34"/>
      <c r="J96" s="34"/>
      <c r="K96" s="34"/>
      <c r="L96" s="34"/>
      <c r="M96" s="34"/>
      <c r="N96" s="34"/>
      <c r="O96" s="34"/>
      <c r="P96" s="34"/>
      <c r="Q96" s="34"/>
      <c r="R96" s="34"/>
      <c r="S96" s="34"/>
      <c r="T96" s="34"/>
      <c r="U96" s="130"/>
      <c r="V96" s="36"/>
      <c r="W96" s="36"/>
      <c r="X96" s="129" t="s">
        <v>459</v>
      </c>
      <c r="Y96" s="130"/>
      <c r="Z96" s="130"/>
      <c r="AA96" s="130"/>
      <c r="AB96" s="129"/>
      <c r="AC96" s="130"/>
      <c r="AD96" s="130"/>
    </row>
    <row r="97" spans="1:30">
      <c r="A97" s="34"/>
      <c r="B97" s="34"/>
      <c r="C97" s="34"/>
      <c r="D97" s="34"/>
      <c r="E97" s="34"/>
      <c r="F97" s="34"/>
      <c r="G97" s="34"/>
      <c r="H97" s="34"/>
      <c r="I97" s="34"/>
      <c r="J97" s="34"/>
      <c r="K97" s="34"/>
      <c r="L97" s="34"/>
      <c r="M97" s="34"/>
      <c r="N97" s="34"/>
      <c r="O97" s="34"/>
      <c r="P97" s="34"/>
      <c r="Q97" s="34"/>
      <c r="R97" s="34"/>
      <c r="S97" s="34"/>
      <c r="T97" s="34"/>
      <c r="U97" s="130"/>
      <c r="V97" s="36"/>
      <c r="W97" s="36"/>
      <c r="X97" s="129" t="s">
        <v>460</v>
      </c>
      <c r="Y97" s="130"/>
      <c r="Z97" s="130"/>
      <c r="AA97" s="130"/>
      <c r="AB97" s="129"/>
      <c r="AC97" s="130"/>
      <c r="AD97" s="130"/>
    </row>
    <row r="98" spans="1:30">
      <c r="A98" s="34"/>
      <c r="B98" s="34"/>
      <c r="C98" s="34"/>
      <c r="D98" s="34"/>
      <c r="E98" s="34"/>
      <c r="F98" s="34"/>
      <c r="G98" s="34"/>
      <c r="H98" s="34"/>
      <c r="I98" s="34"/>
      <c r="J98" s="34"/>
      <c r="K98" s="34"/>
      <c r="L98" s="34"/>
      <c r="M98" s="34"/>
      <c r="N98" s="34"/>
      <c r="O98" s="34"/>
      <c r="P98" s="34"/>
      <c r="Q98" s="34"/>
      <c r="R98" s="34"/>
      <c r="S98" s="34"/>
      <c r="T98" s="34"/>
      <c r="U98" s="130"/>
      <c r="V98" s="36"/>
      <c r="W98" s="36"/>
      <c r="X98" s="129" t="s">
        <v>340</v>
      </c>
      <c r="Y98" s="130"/>
      <c r="Z98" s="130"/>
      <c r="AA98" s="130"/>
      <c r="AB98" s="129"/>
      <c r="AC98" s="130"/>
      <c r="AD98" s="130"/>
    </row>
    <row r="99" spans="1:30">
      <c r="A99" s="34"/>
      <c r="B99" s="34"/>
      <c r="C99" s="34"/>
      <c r="D99" s="34"/>
      <c r="E99" s="34"/>
      <c r="F99" s="34"/>
      <c r="G99" s="34"/>
      <c r="H99" s="34"/>
      <c r="I99" s="34"/>
      <c r="J99" s="34"/>
      <c r="K99" s="34"/>
      <c r="L99" s="34"/>
      <c r="M99" s="34"/>
      <c r="N99" s="34"/>
      <c r="O99" s="34"/>
      <c r="P99" s="34"/>
      <c r="Q99" s="34"/>
      <c r="R99" s="34"/>
      <c r="S99" s="34"/>
      <c r="T99" s="34"/>
      <c r="U99" s="130"/>
      <c r="V99" s="36"/>
      <c r="W99" s="36"/>
      <c r="X99" s="129" t="s">
        <v>461</v>
      </c>
      <c r="Y99" s="130"/>
      <c r="Z99" s="130"/>
      <c r="AA99" s="130"/>
      <c r="AB99" s="129"/>
      <c r="AC99" s="130"/>
      <c r="AD99" s="130"/>
    </row>
    <row r="100" spans="1:30">
      <c r="A100" s="34"/>
      <c r="B100" s="34"/>
      <c r="C100" s="34"/>
      <c r="D100" s="34"/>
      <c r="E100" s="34"/>
      <c r="F100" s="34"/>
      <c r="G100" s="34"/>
      <c r="H100" s="34"/>
      <c r="I100" s="34"/>
      <c r="J100" s="34"/>
      <c r="K100" s="34"/>
      <c r="L100" s="34"/>
      <c r="M100" s="34"/>
      <c r="N100" s="34"/>
      <c r="O100" s="34"/>
      <c r="P100" s="34"/>
      <c r="Q100" s="34"/>
      <c r="R100" s="34"/>
      <c r="S100" s="34"/>
      <c r="T100" s="34"/>
      <c r="U100" s="130"/>
      <c r="V100" s="36"/>
      <c r="W100" s="36"/>
      <c r="X100" s="129" t="s">
        <v>463</v>
      </c>
      <c r="Y100" s="130"/>
      <c r="Z100" s="130"/>
      <c r="AA100" s="130"/>
      <c r="AB100" s="129"/>
      <c r="AC100" s="130"/>
      <c r="AD100" s="130"/>
    </row>
    <row r="101" spans="1:30">
      <c r="A101" s="34"/>
      <c r="B101" s="34"/>
      <c r="C101" s="34"/>
      <c r="D101" s="34"/>
      <c r="E101" s="34"/>
      <c r="F101" s="34"/>
      <c r="G101" s="34"/>
      <c r="H101" s="34"/>
      <c r="I101" s="34"/>
      <c r="J101" s="34"/>
      <c r="K101" s="34"/>
      <c r="L101" s="34"/>
      <c r="M101" s="34"/>
      <c r="N101" s="34"/>
      <c r="O101" s="34"/>
      <c r="P101" s="34"/>
      <c r="Q101" s="34"/>
      <c r="R101" s="34"/>
      <c r="S101" s="34"/>
      <c r="T101" s="34"/>
      <c r="U101" s="130"/>
      <c r="V101" s="36"/>
      <c r="W101" s="36"/>
      <c r="X101" s="129" t="s">
        <v>464</v>
      </c>
      <c r="Y101" s="130"/>
      <c r="Z101" s="130"/>
      <c r="AA101" s="130"/>
      <c r="AB101" s="129"/>
      <c r="AC101" s="130"/>
      <c r="AD101" s="130"/>
    </row>
    <row r="102" spans="1:30">
      <c r="A102" s="34"/>
      <c r="B102" s="34"/>
      <c r="C102" s="34"/>
      <c r="D102" s="34"/>
      <c r="E102" s="34"/>
      <c r="F102" s="34"/>
      <c r="G102" s="34"/>
      <c r="H102" s="34"/>
      <c r="I102" s="34"/>
      <c r="J102" s="34"/>
      <c r="K102" s="34"/>
      <c r="L102" s="34"/>
      <c r="M102" s="34"/>
      <c r="N102" s="34"/>
      <c r="O102" s="34"/>
      <c r="P102" s="34"/>
      <c r="Q102" s="34"/>
      <c r="R102" s="34"/>
      <c r="S102" s="34"/>
      <c r="T102" s="34"/>
      <c r="U102" s="130"/>
      <c r="V102" s="36"/>
      <c r="W102" s="36"/>
      <c r="X102" s="129" t="s">
        <v>465</v>
      </c>
      <c r="Y102" s="130"/>
      <c r="Z102" s="130"/>
      <c r="AA102" s="130"/>
      <c r="AB102" s="129"/>
      <c r="AC102" s="130"/>
      <c r="AD102" s="130"/>
    </row>
    <row r="103" spans="1:30">
      <c r="A103" s="34"/>
      <c r="B103" s="34"/>
      <c r="C103" s="34"/>
      <c r="D103" s="34"/>
      <c r="E103" s="34"/>
      <c r="F103" s="34"/>
      <c r="G103" s="34"/>
      <c r="H103" s="34"/>
      <c r="I103" s="34"/>
      <c r="J103" s="34"/>
      <c r="K103" s="34"/>
      <c r="L103" s="34"/>
      <c r="M103" s="34"/>
      <c r="N103" s="34"/>
      <c r="O103" s="34"/>
      <c r="P103" s="34"/>
      <c r="Q103" s="34"/>
      <c r="R103" s="34"/>
      <c r="S103" s="34"/>
      <c r="T103" s="34"/>
      <c r="U103" s="130"/>
      <c r="V103" s="36"/>
      <c r="W103" s="36"/>
      <c r="X103" s="129" t="s">
        <v>466</v>
      </c>
      <c r="Y103" s="130"/>
      <c r="Z103" s="130"/>
      <c r="AA103" s="130"/>
      <c r="AB103" s="129"/>
      <c r="AC103" s="130"/>
      <c r="AD103" s="130"/>
    </row>
    <row r="104" spans="1:30">
      <c r="A104" s="34"/>
      <c r="B104" s="34"/>
      <c r="C104" s="34"/>
      <c r="D104" s="34"/>
      <c r="E104" s="34"/>
      <c r="F104" s="34"/>
      <c r="G104" s="34"/>
      <c r="H104" s="34"/>
      <c r="I104" s="34"/>
      <c r="J104" s="34"/>
      <c r="K104" s="34"/>
      <c r="L104" s="34"/>
      <c r="M104" s="34"/>
      <c r="N104" s="34"/>
      <c r="O104" s="34"/>
      <c r="P104" s="34"/>
      <c r="Q104" s="34"/>
      <c r="R104" s="34"/>
      <c r="S104" s="34"/>
      <c r="T104" s="34"/>
      <c r="U104" s="130"/>
      <c r="V104" s="36"/>
      <c r="W104" s="36"/>
      <c r="X104" s="129" t="s">
        <v>342</v>
      </c>
      <c r="Y104" s="130"/>
      <c r="Z104" s="130"/>
      <c r="AA104" s="130"/>
      <c r="AB104" s="129"/>
      <c r="AC104" s="130"/>
      <c r="AD104" s="130"/>
    </row>
    <row r="105" spans="1:30">
      <c r="A105" s="34"/>
      <c r="B105" s="34"/>
      <c r="C105" s="34"/>
      <c r="D105" s="34"/>
      <c r="E105" s="34"/>
      <c r="F105" s="34"/>
      <c r="G105" s="34"/>
      <c r="H105" s="34"/>
      <c r="I105" s="34"/>
      <c r="J105" s="34"/>
      <c r="K105" s="34"/>
      <c r="L105" s="34"/>
      <c r="M105" s="34"/>
      <c r="N105" s="34"/>
      <c r="O105" s="34"/>
      <c r="P105" s="34"/>
      <c r="Q105" s="34"/>
      <c r="R105" s="34"/>
      <c r="S105" s="34"/>
      <c r="T105" s="34"/>
      <c r="U105" s="130"/>
      <c r="V105" s="36"/>
      <c r="W105" s="36"/>
      <c r="X105" s="129" t="s">
        <v>468</v>
      </c>
      <c r="Y105" s="130"/>
      <c r="Z105" s="130"/>
      <c r="AA105" s="130"/>
      <c r="AB105" s="129"/>
      <c r="AC105" s="130"/>
      <c r="AD105" s="130"/>
    </row>
    <row r="106" spans="1:30">
      <c r="A106" s="34"/>
      <c r="B106" s="34"/>
      <c r="C106" s="34"/>
      <c r="D106" s="34"/>
      <c r="E106" s="34"/>
      <c r="F106" s="34"/>
      <c r="G106" s="34"/>
      <c r="H106" s="34"/>
      <c r="I106" s="34"/>
      <c r="J106" s="34"/>
      <c r="K106" s="34"/>
      <c r="L106" s="34"/>
      <c r="M106" s="34"/>
      <c r="N106" s="34"/>
      <c r="O106" s="34"/>
      <c r="P106" s="34"/>
      <c r="Q106" s="34"/>
      <c r="R106" s="34"/>
      <c r="S106" s="34"/>
      <c r="T106" s="34"/>
      <c r="U106" s="130"/>
      <c r="V106" s="36"/>
      <c r="W106" s="36"/>
      <c r="X106" s="129" t="s">
        <v>469</v>
      </c>
      <c r="Y106" s="130"/>
      <c r="Z106" s="130"/>
      <c r="AA106" s="130"/>
      <c r="AB106" s="129"/>
      <c r="AC106" s="130"/>
      <c r="AD106" s="130"/>
    </row>
    <row r="107" spans="1:30">
      <c r="A107" s="34"/>
      <c r="B107" s="34"/>
      <c r="C107" s="34"/>
      <c r="D107" s="34"/>
      <c r="E107" s="34"/>
      <c r="F107" s="34"/>
      <c r="G107" s="34"/>
      <c r="H107" s="34"/>
      <c r="I107" s="34"/>
      <c r="J107" s="34"/>
      <c r="K107" s="34"/>
      <c r="L107" s="34"/>
      <c r="M107" s="34"/>
      <c r="N107" s="34"/>
      <c r="O107" s="34"/>
      <c r="P107" s="34"/>
      <c r="Q107" s="34"/>
      <c r="R107" s="34"/>
      <c r="S107" s="34"/>
      <c r="T107" s="34"/>
      <c r="U107" s="130"/>
      <c r="V107" s="36"/>
      <c r="W107" s="36"/>
      <c r="X107" s="129" t="s">
        <v>470</v>
      </c>
      <c r="Y107" s="130"/>
      <c r="Z107" s="130"/>
      <c r="AA107" s="130"/>
      <c r="AB107" s="129"/>
      <c r="AC107" s="130"/>
      <c r="AD107" s="130"/>
    </row>
    <row r="108" spans="1:30">
      <c r="A108" s="34"/>
      <c r="B108" s="34"/>
      <c r="C108" s="34"/>
      <c r="D108" s="34"/>
      <c r="E108" s="34"/>
      <c r="F108" s="34"/>
      <c r="G108" s="34"/>
      <c r="H108" s="34"/>
      <c r="I108" s="34"/>
      <c r="J108" s="34"/>
      <c r="K108" s="34"/>
      <c r="L108" s="34"/>
      <c r="M108" s="34"/>
      <c r="N108" s="34"/>
      <c r="O108" s="34"/>
      <c r="P108" s="34"/>
      <c r="Q108" s="34"/>
      <c r="R108" s="34"/>
      <c r="S108" s="34"/>
      <c r="T108" s="34"/>
      <c r="U108" s="130"/>
      <c r="V108" s="36"/>
      <c r="W108" s="36"/>
      <c r="X108" s="129" t="s">
        <v>471</v>
      </c>
      <c r="Y108" s="130"/>
      <c r="Z108" s="130"/>
      <c r="AA108" s="130"/>
      <c r="AB108" s="129"/>
      <c r="AC108" s="130"/>
      <c r="AD108" s="130"/>
    </row>
    <row r="109" spans="1:30">
      <c r="A109" s="34"/>
      <c r="B109" s="34"/>
      <c r="C109" s="34"/>
      <c r="D109" s="34"/>
      <c r="E109" s="34"/>
      <c r="F109" s="34"/>
      <c r="G109" s="34"/>
      <c r="H109" s="34"/>
      <c r="I109" s="34"/>
      <c r="J109" s="34"/>
      <c r="K109" s="34"/>
      <c r="L109" s="34"/>
      <c r="M109" s="34"/>
      <c r="N109" s="34"/>
      <c r="O109" s="34"/>
      <c r="P109" s="34"/>
      <c r="Q109" s="34"/>
      <c r="R109" s="34"/>
      <c r="S109" s="34"/>
      <c r="T109" s="34"/>
      <c r="U109" s="130"/>
      <c r="V109" s="36"/>
      <c r="W109" s="36"/>
      <c r="X109" s="129" t="s">
        <v>472</v>
      </c>
      <c r="Y109" s="130"/>
      <c r="Z109" s="130"/>
      <c r="AA109" s="130"/>
      <c r="AB109" s="129"/>
      <c r="AC109" s="130"/>
      <c r="AD109" s="130"/>
    </row>
    <row r="110" spans="1:30">
      <c r="A110" s="34"/>
      <c r="B110" s="34"/>
      <c r="C110" s="34"/>
      <c r="D110" s="34"/>
      <c r="E110" s="34"/>
      <c r="F110" s="34"/>
      <c r="G110" s="34"/>
      <c r="H110" s="34"/>
      <c r="I110" s="34"/>
      <c r="J110" s="34"/>
      <c r="K110" s="34"/>
      <c r="L110" s="34"/>
      <c r="M110" s="34"/>
      <c r="N110" s="34"/>
      <c r="O110" s="34"/>
      <c r="P110" s="34"/>
      <c r="Q110" s="34"/>
      <c r="R110" s="34"/>
      <c r="S110" s="34"/>
      <c r="T110" s="34"/>
      <c r="U110" s="130"/>
      <c r="V110" s="36"/>
      <c r="W110" s="36"/>
      <c r="X110" s="129" t="s">
        <v>474</v>
      </c>
      <c r="Y110" s="130"/>
      <c r="Z110" s="130"/>
      <c r="AA110" s="130"/>
      <c r="AB110" s="129"/>
      <c r="AC110" s="130"/>
      <c r="AD110" s="130"/>
    </row>
    <row r="111" spans="1:30">
      <c r="A111" s="34"/>
      <c r="B111" s="34"/>
      <c r="C111" s="34"/>
      <c r="D111" s="34"/>
      <c r="E111" s="34"/>
      <c r="F111" s="34"/>
      <c r="G111" s="34"/>
      <c r="H111" s="34"/>
      <c r="I111" s="34"/>
      <c r="J111" s="34"/>
      <c r="K111" s="34"/>
      <c r="L111" s="34"/>
      <c r="M111" s="34"/>
      <c r="N111" s="34"/>
      <c r="O111" s="34"/>
      <c r="P111" s="34"/>
      <c r="Q111" s="34"/>
      <c r="R111" s="34"/>
      <c r="S111" s="34"/>
      <c r="T111" s="34"/>
      <c r="U111" s="130"/>
      <c r="V111" s="36"/>
      <c r="W111" s="36"/>
      <c r="X111" s="129" t="s">
        <v>347</v>
      </c>
      <c r="Y111" s="130"/>
      <c r="Z111" s="130"/>
      <c r="AA111" s="130"/>
      <c r="AB111" s="129"/>
      <c r="AC111" s="130"/>
      <c r="AD111" s="130"/>
    </row>
    <row r="112" spans="1:30">
      <c r="A112" s="34"/>
      <c r="B112" s="34"/>
      <c r="C112" s="34"/>
      <c r="D112" s="34"/>
      <c r="E112" s="34"/>
      <c r="F112" s="34"/>
      <c r="G112" s="34"/>
      <c r="H112" s="34"/>
      <c r="I112" s="34"/>
      <c r="J112" s="34"/>
      <c r="K112" s="34"/>
      <c r="L112" s="34"/>
      <c r="M112" s="34"/>
      <c r="N112" s="34"/>
      <c r="O112" s="34"/>
      <c r="P112" s="34"/>
      <c r="Q112" s="34"/>
      <c r="R112" s="34"/>
      <c r="S112" s="34"/>
      <c r="T112" s="34"/>
      <c r="U112" s="130"/>
      <c r="V112" s="36"/>
      <c r="W112" s="36"/>
      <c r="X112" s="129" t="s">
        <v>475</v>
      </c>
      <c r="Y112" s="130"/>
      <c r="Z112" s="130"/>
      <c r="AA112" s="130"/>
      <c r="AB112" s="129"/>
      <c r="AC112" s="130"/>
      <c r="AD112" s="130"/>
    </row>
    <row r="113" spans="1:30">
      <c r="A113" s="34"/>
      <c r="B113" s="34"/>
      <c r="C113" s="34"/>
      <c r="D113" s="34"/>
      <c r="E113" s="34"/>
      <c r="F113" s="34"/>
      <c r="G113" s="34"/>
      <c r="H113" s="34"/>
      <c r="I113" s="34"/>
      <c r="J113" s="34"/>
      <c r="K113" s="34"/>
      <c r="L113" s="34"/>
      <c r="M113" s="34"/>
      <c r="N113" s="34"/>
      <c r="O113" s="34"/>
      <c r="P113" s="34"/>
      <c r="Q113" s="34"/>
      <c r="R113" s="34"/>
      <c r="S113" s="34"/>
      <c r="T113" s="34"/>
      <c r="U113" s="130"/>
      <c r="V113" s="36"/>
      <c r="W113" s="36"/>
      <c r="X113" s="129" t="s">
        <v>476</v>
      </c>
      <c r="Y113" s="130"/>
      <c r="Z113" s="130"/>
      <c r="AA113" s="130"/>
      <c r="AB113" s="129"/>
      <c r="AC113" s="130"/>
      <c r="AD113" s="130"/>
    </row>
    <row r="114" spans="1:30">
      <c r="A114" s="34"/>
      <c r="B114" s="34"/>
      <c r="C114" s="34"/>
      <c r="D114" s="34"/>
      <c r="E114" s="34"/>
      <c r="F114" s="34"/>
      <c r="G114" s="34"/>
      <c r="H114" s="34"/>
      <c r="I114" s="34"/>
      <c r="J114" s="34"/>
      <c r="K114" s="34"/>
      <c r="L114" s="34"/>
      <c r="M114" s="34"/>
      <c r="N114" s="34"/>
      <c r="O114" s="34"/>
      <c r="P114" s="34"/>
      <c r="Q114" s="34"/>
      <c r="R114" s="34"/>
      <c r="S114" s="34"/>
      <c r="T114" s="34"/>
      <c r="U114" s="130"/>
      <c r="V114" s="36"/>
      <c r="W114" s="36"/>
      <c r="X114" s="129" t="s">
        <v>478</v>
      </c>
      <c r="Y114" s="130"/>
      <c r="Z114" s="130"/>
      <c r="AA114" s="130"/>
      <c r="AB114" s="129"/>
      <c r="AC114" s="130"/>
      <c r="AD114" s="130"/>
    </row>
    <row r="115" spans="1:30">
      <c r="A115" s="34"/>
      <c r="B115" s="34"/>
      <c r="C115" s="34"/>
      <c r="D115" s="34"/>
      <c r="E115" s="34"/>
      <c r="F115" s="34"/>
      <c r="G115" s="34"/>
      <c r="H115" s="34"/>
      <c r="I115" s="34"/>
      <c r="J115" s="34"/>
      <c r="K115" s="34"/>
      <c r="L115" s="34"/>
      <c r="M115" s="34"/>
      <c r="N115" s="34"/>
      <c r="O115" s="34"/>
      <c r="P115" s="34"/>
      <c r="Q115" s="34"/>
      <c r="R115" s="34"/>
      <c r="S115" s="34"/>
      <c r="T115" s="34"/>
      <c r="U115" s="130"/>
      <c r="V115" s="36"/>
      <c r="W115" s="36"/>
      <c r="X115" s="129" t="s">
        <v>479</v>
      </c>
      <c r="Y115" s="130"/>
      <c r="Z115" s="130"/>
      <c r="AA115" s="130"/>
      <c r="AB115" s="129"/>
      <c r="AC115" s="130"/>
      <c r="AD115" s="130"/>
    </row>
    <row r="116" spans="1:30">
      <c r="A116" s="34"/>
      <c r="B116" s="34"/>
      <c r="C116" s="34"/>
      <c r="D116" s="34"/>
      <c r="E116" s="34"/>
      <c r="F116" s="34"/>
      <c r="G116" s="34"/>
      <c r="H116" s="34"/>
      <c r="I116" s="34"/>
      <c r="J116" s="34"/>
      <c r="K116" s="34"/>
      <c r="L116" s="34"/>
      <c r="M116" s="34"/>
      <c r="N116" s="34"/>
      <c r="O116" s="34"/>
      <c r="P116" s="34"/>
      <c r="Q116" s="34"/>
      <c r="R116" s="34"/>
      <c r="S116" s="34"/>
      <c r="T116" s="34"/>
      <c r="U116" s="130"/>
      <c r="V116" s="36"/>
      <c r="W116" s="36"/>
      <c r="X116" s="129" t="s">
        <v>481</v>
      </c>
      <c r="Y116" s="130"/>
      <c r="Z116" s="130"/>
      <c r="AA116" s="130"/>
      <c r="AB116" s="129"/>
      <c r="AC116" s="130"/>
      <c r="AD116" s="130"/>
    </row>
    <row r="117" spans="1:30">
      <c r="A117" s="34"/>
      <c r="B117" s="34"/>
      <c r="C117" s="34"/>
      <c r="D117" s="34"/>
      <c r="E117" s="34"/>
      <c r="F117" s="34"/>
      <c r="G117" s="34"/>
      <c r="H117" s="34"/>
      <c r="I117" s="34"/>
      <c r="J117" s="34"/>
      <c r="K117" s="34"/>
      <c r="L117" s="34"/>
      <c r="M117" s="34"/>
      <c r="N117" s="34"/>
      <c r="O117" s="34"/>
      <c r="P117" s="34"/>
      <c r="Q117" s="34"/>
      <c r="R117" s="34"/>
      <c r="S117" s="34"/>
      <c r="T117" s="34"/>
      <c r="U117" s="130"/>
      <c r="V117" s="36"/>
      <c r="W117" s="36"/>
      <c r="X117" s="129" t="s">
        <v>483</v>
      </c>
      <c r="Y117" s="130"/>
      <c r="Z117" s="130"/>
      <c r="AA117" s="130"/>
      <c r="AB117" s="129"/>
      <c r="AC117" s="130"/>
      <c r="AD117" s="130"/>
    </row>
    <row r="118" spans="1:30">
      <c r="A118" s="34"/>
      <c r="B118" s="34"/>
      <c r="C118" s="34"/>
      <c r="D118" s="34"/>
      <c r="E118" s="34"/>
      <c r="F118" s="34"/>
      <c r="G118" s="34"/>
      <c r="H118" s="34"/>
      <c r="I118" s="34"/>
      <c r="J118" s="34"/>
      <c r="K118" s="34"/>
      <c r="L118" s="34"/>
      <c r="M118" s="34"/>
      <c r="N118" s="34"/>
      <c r="O118" s="34"/>
      <c r="P118" s="34"/>
      <c r="Q118" s="34"/>
      <c r="R118" s="34"/>
      <c r="S118" s="34"/>
      <c r="T118" s="34"/>
      <c r="U118" s="130"/>
      <c r="V118" s="36"/>
      <c r="W118" s="36"/>
      <c r="X118" s="129" t="s">
        <v>484</v>
      </c>
      <c r="Y118" s="130"/>
      <c r="Z118" s="130"/>
      <c r="AA118" s="130"/>
      <c r="AB118" s="129"/>
      <c r="AC118" s="130"/>
      <c r="AD118" s="130"/>
    </row>
    <row r="119" spans="1:30">
      <c r="A119" s="34"/>
      <c r="B119" s="34"/>
      <c r="C119" s="34"/>
      <c r="D119" s="34"/>
      <c r="E119" s="34"/>
      <c r="F119" s="34"/>
      <c r="G119" s="34"/>
      <c r="H119" s="34"/>
      <c r="I119" s="34"/>
      <c r="J119" s="34"/>
      <c r="K119" s="34"/>
      <c r="L119" s="34"/>
      <c r="M119" s="34"/>
      <c r="N119" s="34"/>
      <c r="O119" s="34"/>
      <c r="P119" s="34"/>
      <c r="Q119" s="34"/>
      <c r="R119" s="34"/>
      <c r="S119" s="34"/>
      <c r="T119" s="34"/>
      <c r="U119" s="130"/>
      <c r="V119" s="36"/>
      <c r="W119" s="36"/>
      <c r="X119" s="129" t="s">
        <v>226</v>
      </c>
      <c r="Y119" s="130"/>
      <c r="Z119" s="130"/>
      <c r="AA119" s="130"/>
      <c r="AB119" s="129"/>
      <c r="AC119" s="130"/>
      <c r="AD119" s="130"/>
    </row>
    <row r="120" spans="1:30">
      <c r="A120" s="34"/>
      <c r="B120" s="34"/>
      <c r="C120" s="34"/>
      <c r="D120" s="34"/>
      <c r="E120" s="34"/>
      <c r="F120" s="34"/>
      <c r="G120" s="34"/>
      <c r="H120" s="34"/>
      <c r="I120" s="34"/>
      <c r="J120" s="34"/>
      <c r="K120" s="34"/>
      <c r="L120" s="34"/>
      <c r="M120" s="34"/>
      <c r="N120" s="34"/>
      <c r="O120" s="34"/>
      <c r="P120" s="34"/>
      <c r="Q120" s="34"/>
      <c r="R120" s="34"/>
      <c r="S120" s="34"/>
      <c r="T120" s="34"/>
      <c r="U120" s="130"/>
      <c r="V120" s="36"/>
      <c r="W120" s="36"/>
      <c r="X120" s="129" t="s">
        <v>227</v>
      </c>
      <c r="Y120" s="130"/>
      <c r="Z120" s="130"/>
      <c r="AA120" s="130"/>
      <c r="AB120" s="129"/>
      <c r="AC120" s="130"/>
      <c r="AD120" s="130"/>
    </row>
    <row r="121" spans="1:30">
      <c r="A121" s="34"/>
      <c r="B121" s="34"/>
      <c r="C121" s="34"/>
      <c r="D121" s="34"/>
      <c r="E121" s="34"/>
      <c r="F121" s="34"/>
      <c r="G121" s="34"/>
      <c r="H121" s="34"/>
      <c r="I121" s="34"/>
      <c r="J121" s="34"/>
      <c r="K121" s="34"/>
      <c r="L121" s="34"/>
      <c r="M121" s="34"/>
      <c r="N121" s="34"/>
      <c r="O121" s="34"/>
      <c r="P121" s="34"/>
      <c r="Q121" s="34"/>
      <c r="R121" s="34"/>
      <c r="S121" s="34"/>
      <c r="T121" s="34"/>
      <c r="U121" s="130"/>
      <c r="V121" s="36"/>
      <c r="W121" s="36"/>
      <c r="X121" s="129" t="s">
        <v>485</v>
      </c>
      <c r="Y121" s="130"/>
      <c r="Z121" s="130"/>
      <c r="AA121" s="130"/>
      <c r="AB121" s="129"/>
      <c r="AC121" s="130"/>
      <c r="AD121" s="130"/>
    </row>
    <row r="122" spans="1:30">
      <c r="A122" s="34"/>
      <c r="B122" s="34"/>
      <c r="C122" s="34"/>
      <c r="D122" s="34"/>
      <c r="E122" s="34"/>
      <c r="F122" s="34"/>
      <c r="G122" s="34"/>
      <c r="H122" s="34"/>
      <c r="I122" s="34"/>
      <c r="J122" s="34"/>
      <c r="K122" s="34"/>
      <c r="L122" s="34"/>
      <c r="M122" s="34"/>
      <c r="N122" s="34"/>
      <c r="O122" s="34"/>
      <c r="P122" s="34"/>
      <c r="Q122" s="34"/>
      <c r="R122" s="34"/>
      <c r="S122" s="34"/>
      <c r="T122" s="34"/>
      <c r="U122" s="130"/>
      <c r="V122" s="36"/>
      <c r="W122" s="36"/>
      <c r="X122" s="129" t="s">
        <v>486</v>
      </c>
      <c r="Y122" s="130"/>
      <c r="Z122" s="130"/>
      <c r="AA122" s="130"/>
      <c r="AB122" s="129"/>
      <c r="AC122" s="130"/>
      <c r="AD122" s="130"/>
    </row>
    <row r="123" spans="1:30">
      <c r="A123" s="34"/>
      <c r="B123" s="34"/>
      <c r="C123" s="34"/>
      <c r="D123" s="34"/>
      <c r="E123" s="34"/>
      <c r="F123" s="34"/>
      <c r="G123" s="34"/>
      <c r="H123" s="34"/>
      <c r="I123" s="34"/>
      <c r="J123" s="34"/>
      <c r="K123" s="34"/>
      <c r="L123" s="34"/>
      <c r="M123" s="34"/>
      <c r="N123" s="34"/>
      <c r="O123" s="34"/>
      <c r="P123" s="34"/>
      <c r="Q123" s="34"/>
      <c r="R123" s="34"/>
      <c r="S123" s="34"/>
      <c r="T123" s="34"/>
      <c r="U123" s="130"/>
      <c r="V123" s="36"/>
      <c r="W123" s="36"/>
      <c r="X123" s="129" t="s">
        <v>488</v>
      </c>
      <c r="Y123" s="130"/>
      <c r="Z123" s="130"/>
      <c r="AA123" s="130"/>
      <c r="AB123" s="129"/>
      <c r="AC123" s="130"/>
      <c r="AD123" s="130"/>
    </row>
    <row r="124" spans="1:30">
      <c r="A124" s="34"/>
      <c r="B124" s="34"/>
      <c r="C124" s="34"/>
      <c r="D124" s="34"/>
      <c r="E124" s="34"/>
      <c r="F124" s="34"/>
      <c r="G124" s="34"/>
      <c r="H124" s="34"/>
      <c r="I124" s="34"/>
      <c r="J124" s="34"/>
      <c r="K124" s="34"/>
      <c r="L124" s="34"/>
      <c r="M124" s="34"/>
      <c r="N124" s="34"/>
      <c r="O124" s="34"/>
      <c r="P124" s="34"/>
      <c r="Q124" s="34"/>
      <c r="R124" s="34"/>
      <c r="S124" s="34"/>
      <c r="T124" s="34"/>
      <c r="U124" s="130"/>
      <c r="V124" s="36"/>
      <c r="W124" s="36"/>
      <c r="X124" s="129" t="s">
        <v>490</v>
      </c>
      <c r="Y124" s="130"/>
      <c r="Z124" s="130"/>
      <c r="AA124" s="130"/>
      <c r="AB124" s="129"/>
      <c r="AC124" s="130"/>
      <c r="AD124" s="130"/>
    </row>
    <row r="125" spans="1:30">
      <c r="A125" s="34"/>
      <c r="B125" s="34"/>
      <c r="C125" s="34"/>
      <c r="D125" s="34"/>
      <c r="E125" s="34"/>
      <c r="F125" s="34"/>
      <c r="G125" s="34"/>
      <c r="H125" s="34"/>
      <c r="I125" s="34"/>
      <c r="J125" s="34"/>
      <c r="K125" s="34"/>
      <c r="L125" s="34"/>
      <c r="M125" s="34"/>
      <c r="N125" s="34"/>
      <c r="O125" s="34"/>
      <c r="P125" s="34"/>
      <c r="Q125" s="34"/>
      <c r="R125" s="34"/>
      <c r="S125" s="34"/>
      <c r="T125" s="34"/>
      <c r="U125" s="130"/>
      <c r="V125" s="36"/>
      <c r="W125" s="36"/>
      <c r="X125" s="129" t="s">
        <v>492</v>
      </c>
      <c r="Y125" s="130"/>
      <c r="Z125" s="130"/>
      <c r="AA125" s="130"/>
      <c r="AB125" s="129"/>
      <c r="AC125" s="130"/>
      <c r="AD125" s="130"/>
    </row>
    <row r="126" spans="1:30">
      <c r="A126" s="34"/>
      <c r="B126" s="34"/>
      <c r="C126" s="34"/>
      <c r="D126" s="34"/>
      <c r="E126" s="34"/>
      <c r="F126" s="34"/>
      <c r="G126" s="34"/>
      <c r="H126" s="34"/>
      <c r="I126" s="34"/>
      <c r="J126" s="34"/>
      <c r="K126" s="34"/>
      <c r="L126" s="34"/>
      <c r="M126" s="34"/>
      <c r="N126" s="34"/>
      <c r="O126" s="34"/>
      <c r="P126" s="34"/>
      <c r="Q126" s="34"/>
      <c r="R126" s="34"/>
      <c r="S126" s="34"/>
      <c r="T126" s="34"/>
      <c r="U126" s="130"/>
      <c r="V126" s="36"/>
      <c r="W126" s="36"/>
      <c r="X126" s="129" t="s">
        <v>493</v>
      </c>
      <c r="Y126" s="130"/>
      <c r="Z126" s="130"/>
      <c r="AA126" s="130"/>
      <c r="AB126" s="129"/>
      <c r="AC126" s="130"/>
      <c r="AD126" s="130"/>
    </row>
    <row r="127" spans="1:30">
      <c r="A127" s="34"/>
      <c r="B127" s="34"/>
      <c r="C127" s="34"/>
      <c r="D127" s="34"/>
      <c r="E127" s="34"/>
      <c r="F127" s="34"/>
      <c r="G127" s="34"/>
      <c r="H127" s="34"/>
      <c r="I127" s="34"/>
      <c r="J127" s="34"/>
      <c r="K127" s="34"/>
      <c r="L127" s="34"/>
      <c r="M127" s="34"/>
      <c r="N127" s="34"/>
      <c r="O127" s="34"/>
      <c r="P127" s="34"/>
      <c r="Q127" s="34"/>
      <c r="R127" s="34"/>
      <c r="S127" s="34"/>
      <c r="T127" s="34"/>
      <c r="U127" s="130"/>
      <c r="V127" s="36"/>
      <c r="W127" s="36"/>
      <c r="X127" s="129" t="s">
        <v>494</v>
      </c>
      <c r="Y127" s="130"/>
      <c r="Z127" s="130"/>
      <c r="AA127" s="130"/>
      <c r="AB127" s="129"/>
      <c r="AC127" s="130"/>
      <c r="AD127" s="130"/>
    </row>
    <row r="128" spans="1:30">
      <c r="A128" s="34"/>
      <c r="B128" s="34"/>
      <c r="C128" s="34"/>
      <c r="D128" s="34"/>
      <c r="E128" s="34"/>
      <c r="F128" s="34"/>
      <c r="G128" s="34"/>
      <c r="H128" s="34"/>
      <c r="I128" s="34"/>
      <c r="J128" s="34"/>
      <c r="K128" s="34"/>
      <c r="L128" s="34"/>
      <c r="M128" s="34"/>
      <c r="N128" s="34"/>
      <c r="O128" s="34"/>
      <c r="P128" s="34"/>
      <c r="Q128" s="34"/>
      <c r="R128" s="34"/>
      <c r="S128" s="34"/>
      <c r="T128" s="34"/>
      <c r="U128" s="130"/>
      <c r="V128" s="36"/>
      <c r="W128" s="36"/>
      <c r="X128" s="129" t="s">
        <v>495</v>
      </c>
      <c r="Y128" s="130"/>
      <c r="Z128" s="130"/>
      <c r="AA128" s="130"/>
      <c r="AB128" s="129"/>
      <c r="AC128" s="130"/>
      <c r="AD128" s="130"/>
    </row>
    <row r="129" spans="1:30">
      <c r="A129" s="34"/>
      <c r="B129" s="34"/>
      <c r="C129" s="34"/>
      <c r="D129" s="34"/>
      <c r="E129" s="34"/>
      <c r="F129" s="34"/>
      <c r="G129" s="34"/>
      <c r="H129" s="34"/>
      <c r="I129" s="34"/>
      <c r="J129" s="34"/>
      <c r="K129" s="34"/>
      <c r="L129" s="34"/>
      <c r="M129" s="34"/>
      <c r="N129" s="34"/>
      <c r="O129" s="34"/>
      <c r="P129" s="34"/>
      <c r="Q129" s="34"/>
      <c r="R129" s="34"/>
      <c r="S129" s="34"/>
      <c r="T129" s="34"/>
      <c r="U129" s="130"/>
      <c r="V129" s="36"/>
      <c r="W129" s="36"/>
      <c r="X129" s="129" t="s">
        <v>497</v>
      </c>
      <c r="Y129" s="130"/>
      <c r="Z129" s="130"/>
      <c r="AA129" s="130"/>
      <c r="AB129" s="129"/>
      <c r="AC129" s="130"/>
      <c r="AD129" s="130"/>
    </row>
    <row r="130" spans="1:30">
      <c r="A130" s="34"/>
      <c r="B130" s="34"/>
      <c r="C130" s="34"/>
      <c r="D130" s="34"/>
      <c r="E130" s="34"/>
      <c r="F130" s="34"/>
      <c r="G130" s="34"/>
      <c r="H130" s="34"/>
      <c r="I130" s="34"/>
      <c r="J130" s="34"/>
      <c r="K130" s="34"/>
      <c r="L130" s="34"/>
      <c r="M130" s="34"/>
      <c r="N130" s="34"/>
      <c r="O130" s="34"/>
      <c r="P130" s="34"/>
      <c r="Q130" s="34"/>
      <c r="R130" s="34"/>
      <c r="S130" s="34"/>
      <c r="T130" s="34"/>
      <c r="U130" s="130"/>
      <c r="V130" s="36"/>
      <c r="W130" s="36"/>
      <c r="X130" s="129" t="s">
        <v>498</v>
      </c>
      <c r="Y130" s="130"/>
      <c r="Z130" s="130"/>
      <c r="AA130" s="130"/>
      <c r="AB130" s="129"/>
      <c r="AC130" s="130"/>
      <c r="AD130" s="130"/>
    </row>
    <row r="131" spans="1:30">
      <c r="A131" s="34"/>
      <c r="B131" s="34"/>
      <c r="C131" s="34"/>
      <c r="D131" s="34"/>
      <c r="E131" s="34"/>
      <c r="F131" s="34"/>
      <c r="G131" s="34"/>
      <c r="H131" s="34"/>
      <c r="I131" s="34"/>
      <c r="J131" s="34"/>
      <c r="K131" s="34"/>
      <c r="L131" s="34"/>
      <c r="M131" s="34"/>
      <c r="N131" s="34"/>
      <c r="O131" s="34"/>
      <c r="P131" s="34"/>
      <c r="Q131" s="34"/>
      <c r="R131" s="34"/>
      <c r="S131" s="34"/>
      <c r="T131" s="34"/>
      <c r="U131" s="130"/>
      <c r="V131" s="36"/>
      <c r="W131" s="36"/>
      <c r="X131" s="129" t="s">
        <v>499</v>
      </c>
      <c r="Y131" s="130"/>
      <c r="Z131" s="130"/>
      <c r="AA131" s="130"/>
      <c r="AB131" s="129"/>
      <c r="AC131" s="130"/>
      <c r="AD131" s="130"/>
    </row>
    <row r="132" spans="1:30">
      <c r="A132" s="34"/>
      <c r="B132" s="34"/>
      <c r="C132" s="34"/>
      <c r="D132" s="34"/>
      <c r="E132" s="34"/>
      <c r="F132" s="34"/>
      <c r="G132" s="34"/>
      <c r="H132" s="34"/>
      <c r="I132" s="34"/>
      <c r="J132" s="34"/>
      <c r="K132" s="34"/>
      <c r="L132" s="34"/>
      <c r="M132" s="34"/>
      <c r="N132" s="34"/>
      <c r="O132" s="34"/>
      <c r="P132" s="34"/>
      <c r="Q132" s="34"/>
      <c r="R132" s="34"/>
      <c r="S132" s="34"/>
      <c r="T132" s="34"/>
      <c r="U132" s="130"/>
      <c r="V132" s="36"/>
      <c r="W132" s="36"/>
      <c r="X132" s="129" t="s">
        <v>500</v>
      </c>
      <c r="Y132" s="130"/>
      <c r="Z132" s="130"/>
      <c r="AA132" s="130"/>
      <c r="AB132" s="129"/>
      <c r="AC132" s="130"/>
      <c r="AD132" s="130"/>
    </row>
    <row r="133" spans="1:30">
      <c r="A133" s="34"/>
      <c r="B133" s="34"/>
      <c r="C133" s="34"/>
      <c r="D133" s="34"/>
      <c r="E133" s="34"/>
      <c r="F133" s="34"/>
      <c r="G133" s="34"/>
      <c r="H133" s="34"/>
      <c r="I133" s="34"/>
      <c r="J133" s="34"/>
      <c r="K133" s="34"/>
      <c r="L133" s="34"/>
      <c r="M133" s="34"/>
      <c r="N133" s="34"/>
      <c r="O133" s="34"/>
      <c r="P133" s="34"/>
      <c r="Q133" s="34"/>
      <c r="R133" s="34"/>
      <c r="S133" s="34"/>
      <c r="T133" s="34"/>
      <c r="U133" s="130"/>
      <c r="V133" s="36"/>
      <c r="W133" s="36"/>
      <c r="X133" s="129" t="s">
        <v>502</v>
      </c>
      <c r="Y133" s="130"/>
      <c r="Z133" s="130"/>
      <c r="AA133" s="130"/>
      <c r="AB133" s="129"/>
      <c r="AC133" s="130"/>
      <c r="AD133" s="130"/>
    </row>
    <row r="134" spans="1:30">
      <c r="A134" s="34"/>
      <c r="B134" s="34"/>
      <c r="C134" s="34"/>
      <c r="D134" s="34"/>
      <c r="E134" s="34"/>
      <c r="F134" s="34"/>
      <c r="G134" s="34"/>
      <c r="H134" s="34"/>
      <c r="I134" s="34"/>
      <c r="J134" s="34"/>
      <c r="K134" s="34"/>
      <c r="L134" s="34"/>
      <c r="M134" s="34"/>
      <c r="N134" s="34"/>
      <c r="O134" s="34"/>
      <c r="P134" s="34"/>
      <c r="Q134" s="34"/>
      <c r="R134" s="34"/>
      <c r="S134" s="34"/>
      <c r="T134" s="34"/>
      <c r="U134" s="130"/>
      <c r="V134" s="36"/>
      <c r="W134" s="36"/>
      <c r="X134" s="129" t="s">
        <v>503</v>
      </c>
      <c r="Y134" s="130"/>
      <c r="Z134" s="130"/>
      <c r="AA134" s="130"/>
      <c r="AB134" s="129"/>
      <c r="AC134" s="130"/>
      <c r="AD134" s="130"/>
    </row>
    <row r="135" spans="1:30">
      <c r="A135" s="34"/>
      <c r="B135" s="34"/>
      <c r="C135" s="34"/>
      <c r="D135" s="34"/>
      <c r="E135" s="34"/>
      <c r="F135" s="34"/>
      <c r="G135" s="34"/>
      <c r="H135" s="34"/>
      <c r="I135" s="34"/>
      <c r="J135" s="34"/>
      <c r="K135" s="34"/>
      <c r="L135" s="34"/>
      <c r="M135" s="34"/>
      <c r="N135" s="34"/>
      <c r="O135" s="34"/>
      <c r="P135" s="34"/>
      <c r="Q135" s="34"/>
      <c r="R135" s="34"/>
      <c r="S135" s="34"/>
      <c r="T135" s="34"/>
      <c r="U135" s="130"/>
      <c r="V135" s="36"/>
      <c r="W135" s="36"/>
      <c r="X135" s="129" t="s">
        <v>504</v>
      </c>
      <c r="Y135" s="130"/>
      <c r="Z135" s="130"/>
      <c r="AA135" s="130"/>
      <c r="AB135" s="129"/>
      <c r="AC135" s="130"/>
      <c r="AD135" s="130"/>
    </row>
    <row r="136" spans="1:30">
      <c r="A136" s="34"/>
      <c r="B136" s="34"/>
      <c r="C136" s="34"/>
      <c r="D136" s="34"/>
      <c r="E136" s="34"/>
      <c r="F136" s="34"/>
      <c r="G136" s="34"/>
      <c r="H136" s="34"/>
      <c r="I136" s="34"/>
      <c r="J136" s="34"/>
      <c r="K136" s="34"/>
      <c r="L136" s="34"/>
      <c r="M136" s="34"/>
      <c r="N136" s="34"/>
      <c r="O136" s="34"/>
      <c r="P136" s="34"/>
      <c r="Q136" s="34"/>
      <c r="R136" s="34"/>
      <c r="S136" s="34"/>
      <c r="T136" s="34"/>
      <c r="U136" s="130"/>
      <c r="V136" s="36"/>
      <c r="W136" s="36"/>
      <c r="X136" s="129" t="s">
        <v>505</v>
      </c>
      <c r="Y136" s="130"/>
      <c r="Z136" s="130"/>
      <c r="AA136" s="130"/>
      <c r="AB136" s="129"/>
      <c r="AC136" s="130"/>
      <c r="AD136" s="130"/>
    </row>
    <row r="137" spans="1:30">
      <c r="A137" s="34"/>
      <c r="B137" s="34"/>
      <c r="C137" s="34"/>
      <c r="D137" s="34"/>
      <c r="E137" s="34"/>
      <c r="F137" s="34"/>
      <c r="G137" s="34"/>
      <c r="H137" s="34"/>
      <c r="I137" s="34"/>
      <c r="J137" s="34"/>
      <c r="K137" s="34"/>
      <c r="L137" s="34"/>
      <c r="M137" s="34"/>
      <c r="N137" s="34"/>
      <c r="O137" s="34"/>
      <c r="P137" s="34"/>
      <c r="Q137" s="34"/>
      <c r="R137" s="34"/>
      <c r="S137" s="34"/>
      <c r="T137" s="34"/>
      <c r="U137" s="130"/>
      <c r="V137" s="36"/>
      <c r="W137" s="36"/>
      <c r="X137" s="128" t="s">
        <v>240</v>
      </c>
      <c r="Y137" s="130"/>
      <c r="Z137" s="130"/>
      <c r="AA137" s="130"/>
      <c r="AB137" s="129"/>
      <c r="AC137" s="130"/>
      <c r="AD137" s="130"/>
    </row>
    <row r="138" spans="1:30">
      <c r="A138" s="34"/>
      <c r="B138" s="34"/>
      <c r="C138" s="34"/>
      <c r="D138" s="34"/>
      <c r="E138" s="34"/>
      <c r="F138" s="34"/>
      <c r="G138" s="34"/>
      <c r="H138" s="34"/>
      <c r="I138" s="34"/>
      <c r="J138" s="34"/>
      <c r="K138" s="34"/>
      <c r="L138" s="34"/>
      <c r="M138" s="34"/>
      <c r="N138" s="34"/>
      <c r="O138" s="34"/>
      <c r="P138" s="34"/>
      <c r="Q138" s="34"/>
      <c r="R138" s="34"/>
      <c r="S138" s="34"/>
      <c r="T138" s="34"/>
      <c r="U138" s="130"/>
      <c r="V138" s="36"/>
      <c r="W138" s="36"/>
      <c r="X138" s="129" t="s">
        <v>506</v>
      </c>
      <c r="Y138" s="130"/>
      <c r="Z138" s="130"/>
      <c r="AA138" s="130"/>
      <c r="AB138" s="129"/>
      <c r="AC138" s="130"/>
      <c r="AD138" s="130"/>
    </row>
    <row r="139" spans="1:30">
      <c r="A139" s="34"/>
      <c r="B139" s="34"/>
      <c r="C139" s="34"/>
      <c r="D139" s="34"/>
      <c r="E139" s="34"/>
      <c r="F139" s="34"/>
      <c r="G139" s="34"/>
      <c r="H139" s="34"/>
      <c r="I139" s="34"/>
      <c r="J139" s="34"/>
      <c r="K139" s="34"/>
      <c r="L139" s="34"/>
      <c r="M139" s="34"/>
      <c r="N139" s="34"/>
      <c r="O139" s="34"/>
      <c r="P139" s="34"/>
      <c r="Q139" s="34"/>
      <c r="R139" s="34"/>
      <c r="S139" s="34"/>
      <c r="T139" s="34"/>
      <c r="U139" s="130"/>
      <c r="V139" s="36"/>
      <c r="W139" s="36"/>
      <c r="X139" s="129" t="s">
        <v>507</v>
      </c>
      <c r="Y139" s="130"/>
      <c r="Z139" s="130"/>
      <c r="AA139" s="130"/>
      <c r="AB139" s="129"/>
      <c r="AC139" s="130"/>
      <c r="AD139" s="130"/>
    </row>
    <row r="140" spans="1:30">
      <c r="A140" s="34"/>
      <c r="B140" s="34"/>
      <c r="C140" s="34"/>
      <c r="D140" s="34"/>
      <c r="E140" s="34"/>
      <c r="F140" s="34"/>
      <c r="G140" s="34"/>
      <c r="H140" s="34"/>
      <c r="I140" s="34"/>
      <c r="J140" s="34"/>
      <c r="K140" s="34"/>
      <c r="L140" s="34"/>
      <c r="M140" s="34"/>
      <c r="N140" s="34"/>
      <c r="O140" s="34"/>
      <c r="P140" s="34"/>
      <c r="Q140" s="34"/>
      <c r="R140" s="34"/>
      <c r="S140" s="34"/>
      <c r="T140" s="34"/>
      <c r="U140" s="130"/>
      <c r="V140" s="36"/>
      <c r="W140" s="36"/>
      <c r="X140" s="129" t="s">
        <v>364</v>
      </c>
      <c r="Y140" s="130"/>
      <c r="Z140" s="130"/>
      <c r="AA140" s="130"/>
      <c r="AB140" s="129"/>
      <c r="AC140" s="130"/>
      <c r="AD140" s="130"/>
    </row>
    <row r="141" spans="1:30">
      <c r="A141" s="34"/>
      <c r="B141" s="34"/>
      <c r="C141" s="34"/>
      <c r="D141" s="34"/>
      <c r="E141" s="34"/>
      <c r="F141" s="34"/>
      <c r="G141" s="34"/>
      <c r="H141" s="34"/>
      <c r="I141" s="34"/>
      <c r="J141" s="34"/>
      <c r="K141" s="34"/>
      <c r="L141" s="34"/>
      <c r="M141" s="34"/>
      <c r="N141" s="34"/>
      <c r="O141" s="34"/>
      <c r="P141" s="34"/>
      <c r="Q141" s="34"/>
      <c r="R141" s="34"/>
      <c r="S141" s="34"/>
      <c r="T141" s="34"/>
      <c r="U141" s="130"/>
      <c r="V141" s="36"/>
      <c r="W141" s="36"/>
      <c r="X141" s="129" t="s">
        <v>509</v>
      </c>
      <c r="Y141" s="130"/>
      <c r="Z141" s="130"/>
      <c r="AA141" s="130"/>
      <c r="AB141" s="129"/>
      <c r="AC141" s="130"/>
      <c r="AD141" s="130"/>
    </row>
    <row r="142" spans="1:30">
      <c r="A142" s="34"/>
      <c r="B142" s="34"/>
      <c r="C142" s="34"/>
      <c r="D142" s="34"/>
      <c r="E142" s="34"/>
      <c r="F142" s="34"/>
      <c r="G142" s="34"/>
      <c r="H142" s="34"/>
      <c r="I142" s="34"/>
      <c r="J142" s="34"/>
      <c r="K142" s="34"/>
      <c r="L142" s="34"/>
      <c r="M142" s="34"/>
      <c r="N142" s="34"/>
      <c r="O142" s="34"/>
      <c r="P142" s="34"/>
      <c r="Q142" s="34"/>
      <c r="R142" s="34"/>
      <c r="S142" s="34"/>
      <c r="T142" s="34"/>
      <c r="U142" s="130"/>
      <c r="V142" s="36"/>
      <c r="W142" s="36"/>
      <c r="X142" s="129" t="s">
        <v>510</v>
      </c>
      <c r="Y142" s="130"/>
      <c r="Z142" s="130"/>
      <c r="AA142" s="130"/>
      <c r="AB142" s="129"/>
      <c r="AC142" s="130"/>
      <c r="AD142" s="130"/>
    </row>
    <row r="143" spans="1:30">
      <c r="A143" s="34"/>
      <c r="B143" s="34"/>
      <c r="C143" s="34"/>
      <c r="D143" s="34"/>
      <c r="E143" s="34"/>
      <c r="F143" s="34"/>
      <c r="G143" s="34"/>
      <c r="H143" s="34"/>
      <c r="I143" s="34"/>
      <c r="J143" s="34"/>
      <c r="K143" s="34"/>
      <c r="L143" s="34"/>
      <c r="M143" s="34"/>
      <c r="N143" s="34"/>
      <c r="O143" s="34"/>
      <c r="P143" s="34"/>
      <c r="Q143" s="34"/>
      <c r="R143" s="34"/>
      <c r="S143" s="34"/>
      <c r="T143" s="34"/>
      <c r="U143" s="130"/>
      <c r="V143" s="36"/>
      <c r="W143" s="36"/>
      <c r="X143" s="129" t="s">
        <v>512</v>
      </c>
      <c r="Y143" s="130"/>
      <c r="Z143" s="130"/>
      <c r="AA143" s="130"/>
      <c r="AB143" s="129"/>
      <c r="AC143" s="130"/>
      <c r="AD143" s="130"/>
    </row>
    <row r="144" spans="1:30">
      <c r="A144" s="34"/>
      <c r="B144" s="34"/>
      <c r="C144" s="34"/>
      <c r="D144" s="34"/>
      <c r="E144" s="34"/>
      <c r="F144" s="34"/>
      <c r="G144" s="34"/>
      <c r="H144" s="34"/>
      <c r="I144" s="34"/>
      <c r="J144" s="34"/>
      <c r="K144" s="34"/>
      <c r="L144" s="34"/>
      <c r="M144" s="34"/>
      <c r="N144" s="34"/>
      <c r="O144" s="34"/>
      <c r="P144" s="34"/>
      <c r="Q144" s="34"/>
      <c r="R144" s="34"/>
      <c r="S144" s="34"/>
      <c r="T144" s="34"/>
      <c r="U144" s="130"/>
      <c r="V144" s="36"/>
      <c r="W144" s="36"/>
      <c r="X144" s="129" t="s">
        <v>514</v>
      </c>
      <c r="Y144" s="130"/>
      <c r="Z144" s="130"/>
      <c r="AA144" s="130"/>
      <c r="AB144" s="129"/>
      <c r="AC144" s="130"/>
      <c r="AD144" s="130"/>
    </row>
    <row r="145" spans="1:30">
      <c r="A145" s="34"/>
      <c r="B145" s="34"/>
      <c r="C145" s="34"/>
      <c r="D145" s="34"/>
      <c r="E145" s="34"/>
      <c r="F145" s="34"/>
      <c r="G145" s="34"/>
      <c r="H145" s="34"/>
      <c r="I145" s="34"/>
      <c r="J145" s="34"/>
      <c r="K145" s="34"/>
      <c r="L145" s="34"/>
      <c r="M145" s="34"/>
      <c r="N145" s="34"/>
      <c r="O145" s="34"/>
      <c r="P145" s="34"/>
      <c r="Q145" s="34"/>
      <c r="R145" s="34"/>
      <c r="S145" s="34"/>
      <c r="T145" s="34"/>
      <c r="U145" s="130"/>
      <c r="V145" s="36"/>
      <c r="W145" s="36"/>
      <c r="X145" s="129" t="s">
        <v>370</v>
      </c>
      <c r="Y145" s="130"/>
      <c r="Z145" s="130"/>
      <c r="AA145" s="130"/>
      <c r="AB145" s="129"/>
      <c r="AC145" s="130"/>
      <c r="AD145" s="130"/>
    </row>
    <row r="146" spans="1:30">
      <c r="A146" s="34"/>
      <c r="B146" s="34"/>
      <c r="C146" s="34"/>
      <c r="D146" s="34"/>
      <c r="E146" s="34"/>
      <c r="F146" s="34"/>
      <c r="G146" s="34"/>
      <c r="H146" s="34"/>
      <c r="I146" s="34"/>
      <c r="J146" s="34"/>
      <c r="K146" s="34"/>
      <c r="L146" s="34"/>
      <c r="M146" s="34"/>
      <c r="N146" s="34"/>
      <c r="O146" s="34"/>
      <c r="P146" s="34"/>
      <c r="Q146" s="34"/>
      <c r="R146" s="34"/>
      <c r="S146" s="34"/>
      <c r="T146" s="34"/>
      <c r="U146" s="130"/>
      <c r="V146" s="36"/>
      <c r="W146" s="36"/>
      <c r="X146" s="129" t="s">
        <v>516</v>
      </c>
      <c r="Y146" s="130"/>
      <c r="Z146" s="130"/>
      <c r="AA146" s="130"/>
      <c r="AB146" s="129"/>
      <c r="AC146" s="130"/>
      <c r="AD146" s="130"/>
    </row>
    <row r="147" spans="1:30">
      <c r="A147" s="34"/>
      <c r="B147" s="34"/>
      <c r="C147" s="34"/>
      <c r="D147" s="34"/>
      <c r="E147" s="34"/>
      <c r="F147" s="34"/>
      <c r="G147" s="34"/>
      <c r="H147" s="34"/>
      <c r="I147" s="34"/>
      <c r="J147" s="34"/>
      <c r="K147" s="34"/>
      <c r="L147" s="34"/>
      <c r="M147" s="34"/>
      <c r="N147" s="34"/>
      <c r="O147" s="34"/>
      <c r="P147" s="34"/>
      <c r="Q147" s="34"/>
      <c r="R147" s="34"/>
      <c r="S147" s="34"/>
      <c r="T147" s="34"/>
      <c r="U147" s="130"/>
      <c r="V147" s="36"/>
      <c r="W147" s="36"/>
      <c r="X147" s="129" t="s">
        <v>518</v>
      </c>
      <c r="Y147" s="130"/>
      <c r="Z147" s="130"/>
      <c r="AA147" s="130"/>
      <c r="AB147" s="129"/>
      <c r="AC147" s="130"/>
      <c r="AD147" s="130"/>
    </row>
    <row r="148" spans="1:30">
      <c r="A148" s="34"/>
      <c r="B148" s="34"/>
      <c r="C148" s="34"/>
      <c r="D148" s="34"/>
      <c r="E148" s="34"/>
      <c r="F148" s="34"/>
      <c r="G148" s="34"/>
      <c r="H148" s="34"/>
      <c r="I148" s="34"/>
      <c r="J148" s="34"/>
      <c r="K148" s="34"/>
      <c r="L148" s="34"/>
      <c r="M148" s="34"/>
      <c r="N148" s="34"/>
      <c r="O148" s="34"/>
      <c r="P148" s="34"/>
      <c r="Q148" s="34"/>
      <c r="R148" s="34"/>
      <c r="S148" s="34"/>
      <c r="T148" s="34"/>
      <c r="U148" s="130"/>
      <c r="V148" s="36"/>
      <c r="W148" s="36"/>
      <c r="X148" s="129" t="s">
        <v>519</v>
      </c>
      <c r="Y148" s="130"/>
      <c r="Z148" s="130"/>
      <c r="AA148" s="130"/>
      <c r="AB148" s="129"/>
      <c r="AC148" s="130"/>
      <c r="AD148" s="130"/>
    </row>
    <row r="149" spans="1:30">
      <c r="A149" s="34"/>
      <c r="B149" s="34"/>
      <c r="C149" s="34"/>
      <c r="D149" s="34"/>
      <c r="E149" s="34"/>
      <c r="F149" s="34"/>
      <c r="G149" s="34"/>
      <c r="H149" s="34"/>
      <c r="I149" s="34"/>
      <c r="J149" s="34"/>
      <c r="K149" s="34"/>
      <c r="L149" s="34"/>
      <c r="M149" s="34"/>
      <c r="N149" s="34"/>
      <c r="O149" s="34"/>
      <c r="P149" s="34"/>
      <c r="Q149" s="34"/>
      <c r="R149" s="34"/>
      <c r="S149" s="34"/>
      <c r="T149" s="34"/>
      <c r="U149" s="130"/>
      <c r="V149" s="36"/>
      <c r="W149" s="36"/>
      <c r="X149" s="129" t="s">
        <v>521</v>
      </c>
      <c r="Y149" s="130"/>
      <c r="Z149" s="130"/>
      <c r="AA149" s="130"/>
      <c r="AB149" s="129"/>
      <c r="AC149" s="130"/>
      <c r="AD149" s="130"/>
    </row>
    <row r="150" spans="1:30">
      <c r="A150" s="34"/>
      <c r="B150" s="34"/>
      <c r="C150" s="34"/>
      <c r="D150" s="34"/>
      <c r="E150" s="34"/>
      <c r="F150" s="34"/>
      <c r="G150" s="34"/>
      <c r="H150" s="34"/>
      <c r="I150" s="34"/>
      <c r="J150" s="34"/>
      <c r="K150" s="34"/>
      <c r="L150" s="34"/>
      <c r="M150" s="34"/>
      <c r="N150" s="34"/>
      <c r="O150" s="34"/>
      <c r="P150" s="34"/>
      <c r="Q150" s="34"/>
      <c r="R150" s="34"/>
      <c r="S150" s="34"/>
      <c r="T150" s="34"/>
      <c r="U150" s="130"/>
      <c r="V150" s="36"/>
      <c r="W150" s="36"/>
      <c r="X150" s="129" t="s">
        <v>523</v>
      </c>
      <c r="Y150" s="130"/>
      <c r="Z150" s="130"/>
      <c r="AA150" s="130"/>
      <c r="AB150" s="129"/>
      <c r="AC150" s="130"/>
      <c r="AD150" s="130"/>
    </row>
    <row r="151" spans="1:30">
      <c r="A151" s="34"/>
      <c r="B151" s="34"/>
      <c r="C151" s="34"/>
      <c r="D151" s="34"/>
      <c r="E151" s="34"/>
      <c r="F151" s="34"/>
      <c r="G151" s="34"/>
      <c r="H151" s="34"/>
      <c r="I151" s="34"/>
      <c r="J151" s="34"/>
      <c r="K151" s="34"/>
      <c r="L151" s="34"/>
      <c r="M151" s="34"/>
      <c r="N151" s="34"/>
      <c r="O151" s="34"/>
      <c r="P151" s="34"/>
      <c r="Q151" s="34"/>
      <c r="R151" s="34"/>
      <c r="S151" s="34"/>
      <c r="T151" s="34"/>
      <c r="U151" s="130"/>
      <c r="V151" s="36"/>
      <c r="W151" s="36"/>
      <c r="X151" s="129" t="s">
        <v>525</v>
      </c>
      <c r="Y151" s="130"/>
      <c r="Z151" s="130"/>
      <c r="AA151" s="130"/>
      <c r="AB151" s="129"/>
      <c r="AC151" s="130"/>
      <c r="AD151" s="130"/>
    </row>
    <row r="152" spans="1:30">
      <c r="A152" s="34"/>
      <c r="B152" s="34"/>
      <c r="C152" s="34"/>
      <c r="D152" s="34"/>
      <c r="E152" s="34"/>
      <c r="F152" s="34"/>
      <c r="G152" s="34"/>
      <c r="H152" s="34"/>
      <c r="I152" s="34"/>
      <c r="J152" s="34"/>
      <c r="K152" s="34"/>
      <c r="L152" s="34"/>
      <c r="M152" s="34"/>
      <c r="N152" s="34"/>
      <c r="O152" s="34"/>
      <c r="P152" s="34"/>
      <c r="Q152" s="34"/>
      <c r="R152" s="34"/>
      <c r="S152" s="34"/>
      <c r="T152" s="34"/>
      <c r="U152" s="130"/>
      <c r="V152" s="36"/>
      <c r="W152" s="36"/>
      <c r="X152" s="129" t="s">
        <v>526</v>
      </c>
      <c r="Y152" s="130"/>
      <c r="Z152" s="130"/>
      <c r="AA152" s="130"/>
      <c r="AB152" s="129"/>
      <c r="AC152" s="130"/>
      <c r="AD152" s="130"/>
    </row>
    <row r="153" spans="1:30">
      <c r="A153" s="34"/>
      <c r="B153" s="34"/>
      <c r="C153" s="34"/>
      <c r="D153" s="34"/>
      <c r="E153" s="34"/>
      <c r="F153" s="34"/>
      <c r="G153" s="34"/>
      <c r="H153" s="34"/>
      <c r="I153" s="34"/>
      <c r="J153" s="34"/>
      <c r="K153" s="34"/>
      <c r="L153" s="34"/>
      <c r="M153" s="34"/>
      <c r="N153" s="34"/>
      <c r="O153" s="34"/>
      <c r="P153" s="34"/>
      <c r="Q153" s="34"/>
      <c r="R153" s="34"/>
      <c r="S153" s="34"/>
      <c r="T153" s="34"/>
      <c r="U153" s="130"/>
      <c r="V153" s="36"/>
      <c r="W153" s="36"/>
      <c r="X153" s="129" t="s">
        <v>527</v>
      </c>
      <c r="Y153" s="130"/>
      <c r="Z153" s="130"/>
      <c r="AA153" s="130"/>
      <c r="AB153" s="129"/>
      <c r="AC153" s="130"/>
      <c r="AD153" s="130"/>
    </row>
    <row r="154" spans="1:30">
      <c r="A154" s="34"/>
      <c r="B154" s="34"/>
      <c r="C154" s="34"/>
      <c r="D154" s="34"/>
      <c r="E154" s="34"/>
      <c r="F154" s="34"/>
      <c r="G154" s="34"/>
      <c r="H154" s="34"/>
      <c r="I154" s="34"/>
      <c r="J154" s="34"/>
      <c r="K154" s="34"/>
      <c r="L154" s="34"/>
      <c r="M154" s="34"/>
      <c r="N154" s="34"/>
      <c r="O154" s="34"/>
      <c r="P154" s="34"/>
      <c r="Q154" s="34"/>
      <c r="R154" s="34"/>
      <c r="S154" s="34"/>
      <c r="T154" s="34"/>
      <c r="U154" s="130"/>
      <c r="V154" s="36"/>
      <c r="W154" s="36"/>
      <c r="X154" s="129" t="s">
        <v>528</v>
      </c>
      <c r="Y154" s="130"/>
      <c r="Z154" s="130"/>
      <c r="AA154" s="130"/>
      <c r="AB154" s="129"/>
      <c r="AC154" s="130"/>
      <c r="AD154" s="130"/>
    </row>
    <row r="155" spans="1:30">
      <c r="A155" s="34"/>
      <c r="B155" s="34"/>
      <c r="C155" s="34"/>
      <c r="D155" s="34"/>
      <c r="E155" s="34"/>
      <c r="F155" s="34"/>
      <c r="G155" s="34"/>
      <c r="H155" s="34"/>
      <c r="I155" s="34"/>
      <c r="J155" s="34"/>
      <c r="K155" s="34"/>
      <c r="L155" s="34"/>
      <c r="M155" s="34"/>
      <c r="N155" s="34"/>
      <c r="O155" s="34"/>
      <c r="P155" s="34"/>
      <c r="Q155" s="34"/>
      <c r="R155" s="34"/>
      <c r="S155" s="34"/>
      <c r="T155" s="34"/>
      <c r="U155" s="130"/>
      <c r="V155" s="36"/>
      <c r="W155" s="36"/>
      <c r="X155" s="129" t="s">
        <v>530</v>
      </c>
      <c r="Y155" s="130"/>
      <c r="Z155" s="130"/>
      <c r="AA155" s="130"/>
      <c r="AB155" s="129"/>
      <c r="AC155" s="130"/>
      <c r="AD155" s="130"/>
    </row>
    <row r="156" spans="1:30">
      <c r="A156" s="34"/>
      <c r="B156" s="34"/>
      <c r="C156" s="34"/>
      <c r="D156" s="34"/>
      <c r="E156" s="34"/>
      <c r="F156" s="34"/>
      <c r="G156" s="34"/>
      <c r="H156" s="34"/>
      <c r="I156" s="34"/>
      <c r="J156" s="34"/>
      <c r="K156" s="34"/>
      <c r="L156" s="34"/>
      <c r="M156" s="34"/>
      <c r="N156" s="34"/>
      <c r="O156" s="34"/>
      <c r="P156" s="34"/>
      <c r="Q156" s="34"/>
      <c r="R156" s="34"/>
      <c r="S156" s="34"/>
      <c r="T156" s="34"/>
      <c r="U156" s="130"/>
      <c r="V156" s="36"/>
      <c r="W156" s="36"/>
      <c r="X156" s="129" t="s">
        <v>531</v>
      </c>
      <c r="Y156" s="130"/>
      <c r="Z156" s="130"/>
      <c r="AA156" s="130"/>
      <c r="AB156" s="129"/>
      <c r="AC156" s="130"/>
      <c r="AD156" s="130"/>
    </row>
    <row r="157" spans="1:30">
      <c r="A157" s="34"/>
      <c r="B157" s="34"/>
      <c r="C157" s="34"/>
      <c r="D157" s="34"/>
      <c r="E157" s="34"/>
      <c r="F157" s="34"/>
      <c r="G157" s="34"/>
      <c r="H157" s="34"/>
      <c r="I157" s="34"/>
      <c r="J157" s="34"/>
      <c r="K157" s="34"/>
      <c r="L157" s="34"/>
      <c r="M157" s="34"/>
      <c r="N157" s="34"/>
      <c r="O157" s="34"/>
      <c r="P157" s="34"/>
      <c r="Q157" s="34"/>
      <c r="R157" s="34"/>
      <c r="S157" s="34"/>
      <c r="T157" s="34"/>
      <c r="U157" s="130"/>
      <c r="V157" s="36"/>
      <c r="W157" s="36"/>
      <c r="X157" s="129" t="s">
        <v>532</v>
      </c>
      <c r="Y157" s="130"/>
      <c r="Z157" s="130"/>
      <c r="AA157" s="130"/>
      <c r="AB157" s="129"/>
      <c r="AC157" s="130"/>
      <c r="AD157" s="130"/>
    </row>
    <row r="158" spans="1:30">
      <c r="A158" s="34"/>
      <c r="B158" s="34"/>
      <c r="C158" s="34"/>
      <c r="D158" s="34"/>
      <c r="E158" s="34"/>
      <c r="F158" s="34"/>
      <c r="G158" s="34"/>
      <c r="H158" s="34"/>
      <c r="I158" s="34"/>
      <c r="J158" s="34"/>
      <c r="K158" s="34"/>
      <c r="L158" s="34"/>
      <c r="M158" s="34"/>
      <c r="N158" s="34"/>
      <c r="O158" s="34"/>
      <c r="P158" s="34"/>
      <c r="Q158" s="34"/>
      <c r="R158" s="34"/>
      <c r="S158" s="34"/>
      <c r="T158" s="34"/>
      <c r="U158" s="130"/>
      <c r="V158" s="36"/>
      <c r="W158" s="36"/>
      <c r="X158" s="129" t="s">
        <v>533</v>
      </c>
      <c r="Y158" s="130"/>
      <c r="Z158" s="130"/>
      <c r="AA158" s="130"/>
      <c r="AB158" s="129"/>
      <c r="AC158" s="130"/>
      <c r="AD158" s="130"/>
    </row>
    <row r="159" spans="1:30">
      <c r="A159" s="34"/>
      <c r="B159" s="34"/>
      <c r="C159" s="34"/>
      <c r="D159" s="34"/>
      <c r="E159" s="34"/>
      <c r="F159" s="34"/>
      <c r="G159" s="34"/>
      <c r="H159" s="34"/>
      <c r="I159" s="34"/>
      <c r="J159" s="34"/>
      <c r="K159" s="34"/>
      <c r="L159" s="34"/>
      <c r="M159" s="34"/>
      <c r="N159" s="34"/>
      <c r="O159" s="34"/>
      <c r="P159" s="34"/>
      <c r="Q159" s="34"/>
      <c r="R159" s="34"/>
      <c r="S159" s="34"/>
      <c r="T159" s="34"/>
      <c r="U159" s="130"/>
      <c r="V159" s="36"/>
      <c r="W159" s="36"/>
      <c r="X159" s="129" t="s">
        <v>535</v>
      </c>
      <c r="Y159" s="130"/>
      <c r="Z159" s="130"/>
      <c r="AA159" s="130"/>
      <c r="AB159" s="129"/>
      <c r="AC159" s="130"/>
      <c r="AD159" s="130"/>
    </row>
    <row r="160" spans="1:30">
      <c r="A160" s="34"/>
      <c r="B160" s="34"/>
      <c r="C160" s="34"/>
      <c r="D160" s="34"/>
      <c r="E160" s="34"/>
      <c r="F160" s="34"/>
      <c r="G160" s="34"/>
      <c r="H160" s="34"/>
      <c r="I160" s="34"/>
      <c r="J160" s="34"/>
      <c r="K160" s="34"/>
      <c r="L160" s="34"/>
      <c r="M160" s="34"/>
      <c r="N160" s="34"/>
      <c r="O160" s="34"/>
      <c r="P160" s="34"/>
      <c r="Q160" s="34"/>
      <c r="R160" s="34"/>
      <c r="S160" s="34"/>
      <c r="T160" s="34"/>
      <c r="U160" s="130"/>
      <c r="V160" s="36"/>
      <c r="W160" s="36"/>
      <c r="X160" s="129" t="s">
        <v>536</v>
      </c>
      <c r="Y160" s="130"/>
      <c r="Z160" s="130"/>
      <c r="AA160" s="130"/>
      <c r="AB160" s="129"/>
      <c r="AC160" s="130"/>
      <c r="AD160" s="130"/>
    </row>
    <row r="161" spans="1:30">
      <c r="A161" s="34"/>
      <c r="B161" s="34"/>
      <c r="C161" s="34"/>
      <c r="D161" s="34"/>
      <c r="E161" s="34"/>
      <c r="F161" s="34"/>
      <c r="G161" s="34"/>
      <c r="H161" s="34"/>
      <c r="I161" s="34"/>
      <c r="J161" s="34"/>
      <c r="K161" s="34"/>
      <c r="L161" s="34"/>
      <c r="M161" s="34"/>
      <c r="N161" s="34"/>
      <c r="O161" s="34"/>
      <c r="P161" s="34"/>
      <c r="Q161" s="34"/>
      <c r="R161" s="34"/>
      <c r="S161" s="34"/>
      <c r="T161" s="34"/>
      <c r="U161" s="130"/>
      <c r="V161" s="36"/>
      <c r="W161" s="36"/>
      <c r="X161" s="129" t="s">
        <v>537</v>
      </c>
      <c r="Y161" s="130"/>
      <c r="Z161" s="130"/>
      <c r="AA161" s="130"/>
      <c r="AB161" s="129"/>
      <c r="AC161" s="130"/>
      <c r="AD161" s="130"/>
    </row>
    <row r="162" spans="1:30">
      <c r="A162" s="34"/>
      <c r="B162" s="34"/>
      <c r="C162" s="34"/>
      <c r="D162" s="34"/>
      <c r="E162" s="34"/>
      <c r="F162" s="34"/>
      <c r="G162" s="34"/>
      <c r="H162" s="34"/>
      <c r="I162" s="34"/>
      <c r="J162" s="34"/>
      <c r="K162" s="34"/>
      <c r="L162" s="34"/>
      <c r="M162" s="34"/>
      <c r="N162" s="34"/>
      <c r="O162" s="34"/>
      <c r="P162" s="34"/>
      <c r="Q162" s="34"/>
      <c r="R162" s="34"/>
      <c r="S162" s="34"/>
      <c r="T162" s="34"/>
      <c r="U162" s="130"/>
      <c r="V162" s="36"/>
      <c r="W162" s="36"/>
      <c r="X162" s="129" t="s">
        <v>538</v>
      </c>
      <c r="Y162" s="130"/>
      <c r="Z162" s="130"/>
      <c r="AA162" s="130"/>
      <c r="AB162" s="129"/>
      <c r="AC162" s="130"/>
      <c r="AD162" s="130"/>
    </row>
    <row r="163" spans="1:30">
      <c r="A163" s="34"/>
      <c r="B163" s="34"/>
      <c r="C163" s="34"/>
      <c r="D163" s="34"/>
      <c r="E163" s="34"/>
      <c r="F163" s="34"/>
      <c r="G163" s="34"/>
      <c r="H163" s="34"/>
      <c r="I163" s="34"/>
      <c r="J163" s="34"/>
      <c r="K163" s="34"/>
      <c r="L163" s="34"/>
      <c r="M163" s="34"/>
      <c r="N163" s="34"/>
      <c r="O163" s="34"/>
      <c r="P163" s="34"/>
      <c r="Q163" s="34"/>
      <c r="R163" s="34"/>
      <c r="S163" s="34"/>
      <c r="T163" s="34"/>
      <c r="U163" s="130"/>
      <c r="V163" s="36"/>
      <c r="W163" s="36"/>
      <c r="X163" s="129" t="s">
        <v>384</v>
      </c>
      <c r="Y163" s="130"/>
      <c r="Z163" s="130"/>
      <c r="AA163" s="130"/>
      <c r="AB163" s="129"/>
      <c r="AC163" s="130"/>
      <c r="AD163" s="130"/>
    </row>
    <row r="164" spans="1:30">
      <c r="A164" s="34"/>
      <c r="B164" s="34"/>
      <c r="C164" s="34"/>
      <c r="D164" s="34"/>
      <c r="E164" s="34"/>
      <c r="F164" s="34"/>
      <c r="G164" s="34"/>
      <c r="H164" s="34"/>
      <c r="I164" s="34"/>
      <c r="J164" s="34"/>
      <c r="K164" s="34"/>
      <c r="L164" s="34"/>
      <c r="M164" s="34"/>
      <c r="N164" s="34"/>
      <c r="O164" s="34"/>
      <c r="P164" s="34"/>
      <c r="Q164" s="34"/>
      <c r="R164" s="34"/>
      <c r="S164" s="34"/>
      <c r="T164" s="34"/>
      <c r="U164" s="130"/>
      <c r="V164" s="36"/>
      <c r="W164" s="36"/>
      <c r="X164" s="129" t="s">
        <v>540</v>
      </c>
      <c r="Y164" s="130"/>
      <c r="Z164" s="130"/>
      <c r="AA164" s="130"/>
      <c r="AB164" s="129"/>
      <c r="AC164" s="130"/>
      <c r="AD164" s="130"/>
    </row>
    <row r="165" spans="1:30">
      <c r="A165" s="34"/>
      <c r="B165" s="34"/>
      <c r="C165" s="34"/>
      <c r="D165" s="34"/>
      <c r="E165" s="34"/>
      <c r="F165" s="34"/>
      <c r="G165" s="34"/>
      <c r="H165" s="34"/>
      <c r="I165" s="34"/>
      <c r="J165" s="34"/>
      <c r="K165" s="34"/>
      <c r="L165" s="34"/>
      <c r="M165" s="34"/>
      <c r="N165" s="34"/>
      <c r="O165" s="34"/>
      <c r="P165" s="34"/>
      <c r="Q165" s="34"/>
      <c r="R165" s="34"/>
      <c r="S165" s="34"/>
      <c r="T165" s="34"/>
      <c r="U165" s="130"/>
      <c r="V165" s="36"/>
      <c r="W165" s="36"/>
      <c r="X165" s="129" t="s">
        <v>541</v>
      </c>
      <c r="Y165" s="130"/>
      <c r="Z165" s="130"/>
      <c r="AA165" s="130"/>
      <c r="AB165" s="129"/>
      <c r="AC165" s="130"/>
      <c r="AD165" s="130"/>
    </row>
    <row r="166" spans="1:30">
      <c r="A166" s="34"/>
      <c r="B166" s="34"/>
      <c r="C166" s="34"/>
      <c r="D166" s="34"/>
      <c r="E166" s="34"/>
      <c r="F166" s="34"/>
      <c r="G166" s="34"/>
      <c r="H166" s="34"/>
      <c r="I166" s="34"/>
      <c r="J166" s="34"/>
      <c r="K166" s="34"/>
      <c r="L166" s="34"/>
      <c r="M166" s="34"/>
      <c r="N166" s="34"/>
      <c r="O166" s="34"/>
      <c r="P166" s="34"/>
      <c r="Q166" s="34"/>
      <c r="R166" s="34"/>
      <c r="S166" s="34"/>
      <c r="T166" s="34"/>
      <c r="U166" s="130"/>
      <c r="V166" s="36"/>
      <c r="W166" s="36"/>
      <c r="X166" s="129" t="s">
        <v>542</v>
      </c>
      <c r="Y166" s="130"/>
      <c r="Z166" s="130"/>
      <c r="AA166" s="130"/>
      <c r="AB166" s="129"/>
      <c r="AC166" s="130"/>
      <c r="AD166" s="130"/>
    </row>
    <row r="167" spans="1:30">
      <c r="A167" s="34"/>
      <c r="B167" s="34"/>
      <c r="C167" s="34"/>
      <c r="D167" s="34"/>
      <c r="E167" s="34"/>
      <c r="F167" s="34"/>
      <c r="G167" s="34"/>
      <c r="H167" s="34"/>
      <c r="I167" s="34"/>
      <c r="J167" s="34"/>
      <c r="K167" s="34"/>
      <c r="L167" s="34"/>
      <c r="M167" s="34"/>
      <c r="N167" s="34"/>
      <c r="O167" s="34"/>
      <c r="P167" s="34"/>
      <c r="Q167" s="34"/>
      <c r="R167" s="34"/>
      <c r="S167" s="34"/>
      <c r="T167" s="34"/>
      <c r="U167" s="130"/>
      <c r="V167" s="36"/>
      <c r="W167" s="36"/>
      <c r="X167" s="129" t="s">
        <v>544</v>
      </c>
      <c r="Y167" s="130"/>
      <c r="Z167" s="130"/>
      <c r="AA167" s="130"/>
      <c r="AB167" s="129"/>
      <c r="AC167" s="130"/>
      <c r="AD167" s="130"/>
    </row>
    <row r="168" spans="1:30">
      <c r="A168" s="34"/>
      <c r="B168" s="34"/>
      <c r="C168" s="34"/>
      <c r="D168" s="34"/>
      <c r="E168" s="34"/>
      <c r="F168" s="34"/>
      <c r="G168" s="34"/>
      <c r="H168" s="34"/>
      <c r="I168" s="34"/>
      <c r="J168" s="34"/>
      <c r="K168" s="34"/>
      <c r="L168" s="34"/>
      <c r="M168" s="34"/>
      <c r="N168" s="34"/>
      <c r="O168" s="34"/>
      <c r="P168" s="34"/>
      <c r="Q168" s="34"/>
      <c r="R168" s="34"/>
      <c r="S168" s="34"/>
      <c r="T168" s="34"/>
      <c r="U168" s="130"/>
      <c r="V168" s="36"/>
      <c r="W168" s="36"/>
      <c r="X168" s="129" t="s">
        <v>545</v>
      </c>
      <c r="Y168" s="130"/>
      <c r="Z168" s="130"/>
      <c r="AA168" s="130"/>
      <c r="AB168" s="129"/>
      <c r="AC168" s="130"/>
      <c r="AD168" s="130"/>
    </row>
    <row r="169" spans="1:30">
      <c r="A169" s="34"/>
      <c r="B169" s="34"/>
      <c r="C169" s="34"/>
      <c r="D169" s="34"/>
      <c r="E169" s="34"/>
      <c r="F169" s="34"/>
      <c r="G169" s="34"/>
      <c r="H169" s="34"/>
      <c r="I169" s="34"/>
      <c r="J169" s="34"/>
      <c r="K169" s="34"/>
      <c r="L169" s="34"/>
      <c r="M169" s="34"/>
      <c r="N169" s="34"/>
      <c r="O169" s="34"/>
      <c r="P169" s="34"/>
      <c r="Q169" s="34"/>
      <c r="R169" s="34"/>
      <c r="S169" s="34"/>
      <c r="T169" s="34"/>
      <c r="U169" s="130"/>
      <c r="V169" s="36"/>
      <c r="W169" s="36"/>
      <c r="X169" s="129" t="s">
        <v>546</v>
      </c>
      <c r="Y169" s="130"/>
      <c r="Z169" s="130"/>
      <c r="AA169" s="130"/>
      <c r="AB169" s="129"/>
      <c r="AC169" s="130"/>
      <c r="AD169" s="130"/>
    </row>
    <row r="170" spans="1:30">
      <c r="A170" s="34"/>
      <c r="B170" s="34"/>
      <c r="C170" s="34"/>
      <c r="D170" s="34"/>
      <c r="E170" s="34"/>
      <c r="F170" s="34"/>
      <c r="G170" s="34"/>
      <c r="H170" s="34"/>
      <c r="I170" s="34"/>
      <c r="J170" s="34"/>
      <c r="K170" s="34"/>
      <c r="L170" s="34"/>
      <c r="M170" s="34"/>
      <c r="N170" s="34"/>
      <c r="O170" s="34"/>
      <c r="P170" s="34"/>
      <c r="Q170" s="34"/>
      <c r="R170" s="34"/>
      <c r="S170" s="34"/>
      <c r="T170" s="34"/>
      <c r="U170" s="130"/>
      <c r="V170" s="36"/>
      <c r="W170" s="36"/>
      <c r="X170" s="129" t="s">
        <v>547</v>
      </c>
      <c r="Y170" s="130"/>
      <c r="Z170" s="130"/>
      <c r="AA170" s="130"/>
      <c r="AB170" s="129"/>
      <c r="AC170" s="130"/>
      <c r="AD170" s="130"/>
    </row>
    <row r="171" spans="1:30">
      <c r="A171" s="34"/>
      <c r="B171" s="34"/>
      <c r="C171" s="34"/>
      <c r="D171" s="34"/>
      <c r="E171" s="34"/>
      <c r="F171" s="34"/>
      <c r="G171" s="34"/>
      <c r="H171" s="34"/>
      <c r="I171" s="34"/>
      <c r="J171" s="34"/>
      <c r="K171" s="34"/>
      <c r="L171" s="34"/>
      <c r="M171" s="34"/>
      <c r="N171" s="34"/>
      <c r="O171" s="34"/>
      <c r="P171" s="34"/>
      <c r="Q171" s="34"/>
      <c r="R171" s="34"/>
      <c r="S171" s="34"/>
      <c r="T171" s="34"/>
      <c r="U171" s="130"/>
      <c r="V171" s="36"/>
      <c r="W171" s="36"/>
      <c r="X171" s="129" t="s">
        <v>549</v>
      </c>
      <c r="Y171" s="130"/>
      <c r="Z171" s="130"/>
      <c r="AA171" s="130"/>
      <c r="AB171" s="129"/>
      <c r="AC171" s="130"/>
      <c r="AD171" s="130"/>
    </row>
    <row r="172" spans="1:30">
      <c r="A172" s="34"/>
      <c r="B172" s="34"/>
      <c r="C172" s="34"/>
      <c r="D172" s="34"/>
      <c r="E172" s="34"/>
      <c r="F172" s="34"/>
      <c r="G172" s="34"/>
      <c r="H172" s="34"/>
      <c r="I172" s="34"/>
      <c r="J172" s="34"/>
      <c r="K172" s="34"/>
      <c r="L172" s="34"/>
      <c r="M172" s="34"/>
      <c r="N172" s="34"/>
      <c r="O172" s="34"/>
      <c r="P172" s="34"/>
      <c r="Q172" s="34"/>
      <c r="R172" s="34"/>
      <c r="S172" s="34"/>
      <c r="T172" s="34"/>
      <c r="U172" s="130"/>
      <c r="V172" s="36"/>
      <c r="W172" s="36"/>
      <c r="X172" s="129" t="s">
        <v>551</v>
      </c>
      <c r="Y172" s="130"/>
      <c r="Z172" s="130"/>
      <c r="AA172" s="130"/>
      <c r="AB172" s="129"/>
      <c r="AC172" s="130"/>
      <c r="AD172" s="130"/>
    </row>
    <row r="173" spans="1:30">
      <c r="A173" s="34"/>
      <c r="B173" s="34"/>
      <c r="C173" s="34"/>
      <c r="D173" s="34"/>
      <c r="E173" s="34"/>
      <c r="F173" s="34"/>
      <c r="G173" s="34"/>
      <c r="H173" s="34"/>
      <c r="I173" s="34"/>
      <c r="J173" s="34"/>
      <c r="K173" s="34"/>
      <c r="L173" s="34"/>
      <c r="M173" s="34"/>
      <c r="N173" s="34"/>
      <c r="O173" s="34"/>
      <c r="P173" s="34"/>
      <c r="Q173" s="34"/>
      <c r="R173" s="34"/>
      <c r="S173" s="34"/>
      <c r="T173" s="34"/>
      <c r="U173" s="130"/>
      <c r="V173" s="36"/>
      <c r="W173" s="36"/>
      <c r="X173" s="129" t="s">
        <v>552</v>
      </c>
      <c r="Y173" s="130"/>
      <c r="Z173" s="130"/>
      <c r="AA173" s="130"/>
      <c r="AB173" s="129"/>
      <c r="AC173" s="130"/>
      <c r="AD173" s="130"/>
    </row>
    <row r="174" spans="1:30">
      <c r="A174" s="34"/>
      <c r="B174" s="34"/>
      <c r="C174" s="34"/>
      <c r="D174" s="34"/>
      <c r="E174" s="34"/>
      <c r="F174" s="34"/>
      <c r="G174" s="34"/>
      <c r="H174" s="34"/>
      <c r="I174" s="34"/>
      <c r="J174" s="34"/>
      <c r="K174" s="34"/>
      <c r="L174" s="34"/>
      <c r="M174" s="34"/>
      <c r="N174" s="34"/>
      <c r="O174" s="34"/>
      <c r="P174" s="34"/>
      <c r="Q174" s="34"/>
      <c r="R174" s="34"/>
      <c r="S174" s="34"/>
      <c r="T174" s="34"/>
      <c r="U174" s="130"/>
      <c r="V174" s="36"/>
      <c r="W174" s="36"/>
      <c r="X174" s="129" t="s">
        <v>553</v>
      </c>
      <c r="Y174" s="130"/>
      <c r="Z174" s="130"/>
      <c r="AA174" s="130"/>
      <c r="AB174" s="129"/>
      <c r="AC174" s="130"/>
      <c r="AD174" s="130"/>
    </row>
    <row r="175" spans="1:30">
      <c r="A175" s="34"/>
      <c r="B175" s="34"/>
      <c r="C175" s="34"/>
      <c r="D175" s="34"/>
      <c r="E175" s="34"/>
      <c r="F175" s="34"/>
      <c r="G175" s="34"/>
      <c r="H175" s="34"/>
      <c r="I175" s="34"/>
      <c r="J175" s="34"/>
      <c r="K175" s="34"/>
      <c r="L175" s="34"/>
      <c r="M175" s="34"/>
      <c r="N175" s="34"/>
      <c r="O175" s="34"/>
      <c r="P175" s="34"/>
      <c r="Q175" s="34"/>
      <c r="R175" s="34"/>
      <c r="S175" s="34"/>
      <c r="T175" s="34"/>
      <c r="U175" s="130"/>
      <c r="V175" s="36"/>
      <c r="W175" s="36"/>
      <c r="X175" s="129" t="s">
        <v>555</v>
      </c>
      <c r="Y175" s="130"/>
      <c r="Z175" s="130"/>
      <c r="AA175" s="130"/>
      <c r="AB175" s="129"/>
      <c r="AC175" s="130"/>
      <c r="AD175" s="130"/>
    </row>
    <row r="176" spans="1:30">
      <c r="A176" s="34"/>
      <c r="B176" s="34"/>
      <c r="C176" s="34"/>
      <c r="D176" s="34"/>
      <c r="E176" s="34"/>
      <c r="F176" s="34"/>
      <c r="G176" s="34"/>
      <c r="H176" s="34"/>
      <c r="I176" s="34"/>
      <c r="J176" s="34"/>
      <c r="K176" s="34"/>
      <c r="L176" s="34"/>
      <c r="M176" s="34"/>
      <c r="N176" s="34"/>
      <c r="O176" s="34"/>
      <c r="P176" s="34"/>
      <c r="Q176" s="34"/>
      <c r="R176" s="34"/>
      <c r="S176" s="34"/>
      <c r="T176" s="34"/>
      <c r="U176" s="130"/>
      <c r="V176" s="36"/>
      <c r="W176" s="36"/>
      <c r="X176" s="129" t="s">
        <v>556</v>
      </c>
      <c r="Y176" s="130"/>
      <c r="Z176" s="130"/>
      <c r="AA176" s="130"/>
      <c r="AB176" s="129"/>
      <c r="AC176" s="130"/>
      <c r="AD176" s="130"/>
    </row>
    <row r="177" spans="1:30">
      <c r="A177" s="34"/>
      <c r="B177" s="34"/>
      <c r="C177" s="34"/>
      <c r="D177" s="34"/>
      <c r="E177" s="34"/>
      <c r="F177" s="34"/>
      <c r="G177" s="34"/>
      <c r="H177" s="34"/>
      <c r="I177" s="34"/>
      <c r="J177" s="34"/>
      <c r="K177" s="34"/>
      <c r="L177" s="34"/>
      <c r="M177" s="34"/>
      <c r="N177" s="34"/>
      <c r="O177" s="34"/>
      <c r="P177" s="34"/>
      <c r="Q177" s="34"/>
      <c r="R177" s="34"/>
      <c r="S177" s="34"/>
      <c r="T177" s="34"/>
      <c r="U177" s="130"/>
      <c r="V177" s="36"/>
      <c r="W177" s="36"/>
      <c r="X177" s="129" t="s">
        <v>557</v>
      </c>
      <c r="Y177" s="130"/>
      <c r="Z177" s="130"/>
      <c r="AA177" s="130"/>
      <c r="AB177" s="129"/>
      <c r="AC177" s="130"/>
      <c r="AD177" s="130"/>
    </row>
    <row r="178" spans="1:30">
      <c r="A178" s="34"/>
      <c r="B178" s="34"/>
      <c r="C178" s="34"/>
      <c r="D178" s="34"/>
      <c r="E178" s="34"/>
      <c r="F178" s="34"/>
      <c r="G178" s="34"/>
      <c r="H178" s="34"/>
      <c r="I178" s="34"/>
      <c r="J178" s="34"/>
      <c r="K178" s="34"/>
      <c r="L178" s="34"/>
      <c r="M178" s="34"/>
      <c r="N178" s="34"/>
      <c r="O178" s="34"/>
      <c r="P178" s="34"/>
      <c r="Q178" s="34"/>
      <c r="R178" s="34"/>
      <c r="S178" s="34"/>
      <c r="T178" s="34"/>
      <c r="U178" s="130"/>
      <c r="V178" s="36"/>
      <c r="W178" s="36"/>
      <c r="X178" s="129" t="s">
        <v>558</v>
      </c>
      <c r="Y178" s="130"/>
      <c r="Z178" s="130"/>
      <c r="AA178" s="130"/>
      <c r="AB178" s="129"/>
      <c r="AC178" s="130"/>
      <c r="AD178" s="130"/>
    </row>
    <row r="179" spans="1:30">
      <c r="A179" s="34"/>
      <c r="B179" s="34"/>
      <c r="C179" s="34"/>
      <c r="D179" s="34"/>
      <c r="E179" s="34"/>
      <c r="F179" s="34"/>
      <c r="G179" s="34"/>
      <c r="H179" s="34"/>
      <c r="I179" s="34"/>
      <c r="J179" s="34"/>
      <c r="K179" s="34"/>
      <c r="L179" s="34"/>
      <c r="M179" s="34"/>
      <c r="N179" s="34"/>
      <c r="O179" s="34"/>
      <c r="P179" s="34"/>
      <c r="Q179" s="34"/>
      <c r="R179" s="34"/>
      <c r="S179" s="34"/>
      <c r="T179" s="34"/>
      <c r="U179" s="130"/>
      <c r="V179" s="36"/>
      <c r="W179" s="36"/>
      <c r="X179" s="129" t="s">
        <v>560</v>
      </c>
      <c r="Y179" s="130"/>
      <c r="Z179" s="130"/>
      <c r="AA179" s="130"/>
      <c r="AB179" s="129"/>
      <c r="AC179" s="130"/>
      <c r="AD179" s="130"/>
    </row>
    <row r="180" spans="1:30">
      <c r="A180" s="34"/>
      <c r="B180" s="34"/>
      <c r="C180" s="34"/>
      <c r="D180" s="34"/>
      <c r="E180" s="34"/>
      <c r="F180" s="34"/>
      <c r="G180" s="34"/>
      <c r="H180" s="34"/>
      <c r="I180" s="34"/>
      <c r="J180" s="34"/>
      <c r="K180" s="34"/>
      <c r="L180" s="34"/>
      <c r="M180" s="34"/>
      <c r="N180" s="34"/>
      <c r="O180" s="34"/>
      <c r="P180" s="34"/>
      <c r="Q180" s="34"/>
      <c r="R180" s="34"/>
      <c r="S180" s="34"/>
      <c r="T180" s="34"/>
      <c r="U180" s="130"/>
      <c r="V180" s="36"/>
      <c r="W180" s="36"/>
      <c r="X180" s="129" t="s">
        <v>561</v>
      </c>
      <c r="Y180" s="130"/>
      <c r="Z180" s="130"/>
      <c r="AA180" s="130"/>
      <c r="AB180" s="129"/>
      <c r="AC180" s="130"/>
      <c r="AD180" s="130"/>
    </row>
    <row r="181" spans="1:30">
      <c r="A181" s="34"/>
      <c r="B181" s="34"/>
      <c r="C181" s="34"/>
      <c r="D181" s="34"/>
      <c r="E181" s="34"/>
      <c r="F181" s="34"/>
      <c r="G181" s="34"/>
      <c r="H181" s="34"/>
      <c r="I181" s="34"/>
      <c r="J181" s="34"/>
      <c r="K181" s="34"/>
      <c r="L181" s="34"/>
      <c r="M181" s="34"/>
      <c r="N181" s="34"/>
      <c r="O181" s="34"/>
      <c r="P181" s="34"/>
      <c r="Q181" s="34"/>
      <c r="R181" s="34"/>
      <c r="S181" s="34"/>
      <c r="T181" s="34"/>
      <c r="U181" s="130"/>
      <c r="V181" s="36"/>
      <c r="W181" s="36"/>
      <c r="X181" s="129" t="s">
        <v>562</v>
      </c>
      <c r="Y181" s="130"/>
      <c r="Z181" s="130"/>
      <c r="AA181" s="130"/>
      <c r="AB181" s="129"/>
      <c r="AC181" s="130"/>
      <c r="AD181" s="130"/>
    </row>
    <row r="182" spans="1:30">
      <c r="A182" s="34"/>
      <c r="B182" s="34"/>
      <c r="C182" s="34"/>
      <c r="D182" s="34"/>
      <c r="E182" s="34"/>
      <c r="F182" s="34"/>
      <c r="G182" s="34"/>
      <c r="H182" s="34"/>
      <c r="I182" s="34"/>
      <c r="J182" s="34"/>
      <c r="K182" s="34"/>
      <c r="L182" s="34"/>
      <c r="M182" s="34"/>
      <c r="N182" s="34"/>
      <c r="O182" s="34"/>
      <c r="P182" s="34"/>
      <c r="Q182" s="34"/>
      <c r="R182" s="34"/>
      <c r="S182" s="34"/>
      <c r="T182" s="34"/>
      <c r="U182" s="130"/>
      <c r="V182" s="36"/>
      <c r="W182" s="36"/>
      <c r="X182" s="129" t="s">
        <v>563</v>
      </c>
      <c r="Y182" s="130"/>
      <c r="Z182" s="130"/>
      <c r="AA182" s="130"/>
      <c r="AB182" s="129"/>
      <c r="AC182" s="130"/>
      <c r="AD182" s="130"/>
    </row>
    <row r="183" spans="1:30">
      <c r="A183" s="34"/>
      <c r="B183" s="34"/>
      <c r="C183" s="34"/>
      <c r="D183" s="34"/>
      <c r="E183" s="34"/>
      <c r="F183" s="34"/>
      <c r="G183" s="34"/>
      <c r="H183" s="34"/>
      <c r="I183" s="34"/>
      <c r="J183" s="34"/>
      <c r="K183" s="34"/>
      <c r="L183" s="34"/>
      <c r="M183" s="34"/>
      <c r="N183" s="34"/>
      <c r="O183" s="34"/>
      <c r="P183" s="34"/>
      <c r="Q183" s="34"/>
      <c r="R183" s="34"/>
      <c r="S183" s="34"/>
      <c r="T183" s="34"/>
      <c r="U183" s="130"/>
      <c r="V183" s="36"/>
      <c r="W183" s="36"/>
      <c r="X183" s="129" t="s">
        <v>564</v>
      </c>
      <c r="Y183" s="130"/>
      <c r="Z183" s="130"/>
      <c r="AA183" s="130"/>
      <c r="AB183" s="129"/>
      <c r="AC183" s="130"/>
      <c r="AD183" s="130"/>
    </row>
    <row r="184" spans="1:30">
      <c r="A184" s="34"/>
      <c r="B184" s="34"/>
      <c r="C184" s="34"/>
      <c r="D184" s="34"/>
      <c r="E184" s="34"/>
      <c r="F184" s="34"/>
      <c r="G184" s="34"/>
      <c r="H184" s="34"/>
      <c r="I184" s="34"/>
      <c r="J184" s="34"/>
      <c r="K184" s="34"/>
      <c r="L184" s="34"/>
      <c r="M184" s="34"/>
      <c r="N184" s="34"/>
      <c r="O184" s="34"/>
      <c r="P184" s="34"/>
      <c r="Q184" s="34"/>
      <c r="R184" s="34"/>
      <c r="S184" s="34"/>
      <c r="T184" s="34"/>
      <c r="U184" s="130"/>
      <c r="V184" s="36"/>
      <c r="W184" s="36"/>
      <c r="X184" s="129" t="s">
        <v>565</v>
      </c>
      <c r="Y184" s="130"/>
      <c r="Z184" s="130"/>
      <c r="AA184" s="130"/>
      <c r="AB184" s="129"/>
      <c r="AC184" s="130"/>
      <c r="AD184" s="130"/>
    </row>
    <row r="185" spans="1:30">
      <c r="A185" s="34"/>
      <c r="B185" s="34"/>
      <c r="C185" s="34"/>
      <c r="D185" s="34"/>
      <c r="E185" s="34"/>
      <c r="F185" s="34"/>
      <c r="G185" s="34"/>
      <c r="H185" s="34"/>
      <c r="I185" s="34"/>
      <c r="J185" s="34"/>
      <c r="K185" s="34"/>
      <c r="L185" s="34"/>
      <c r="M185" s="34"/>
      <c r="N185" s="34"/>
      <c r="O185" s="34"/>
      <c r="P185" s="34"/>
      <c r="Q185" s="34"/>
      <c r="R185" s="34"/>
      <c r="S185" s="34"/>
      <c r="T185" s="34"/>
      <c r="U185" s="130"/>
      <c r="V185" s="36"/>
      <c r="W185" s="36"/>
      <c r="X185" s="129" t="s">
        <v>566</v>
      </c>
      <c r="Y185" s="130"/>
      <c r="Z185" s="130"/>
      <c r="AA185" s="130"/>
      <c r="AB185" s="129"/>
      <c r="AC185" s="130"/>
      <c r="AD185" s="130"/>
    </row>
    <row r="186" spans="1:30">
      <c r="A186" s="34"/>
      <c r="B186" s="34"/>
      <c r="C186" s="34"/>
      <c r="D186" s="34"/>
      <c r="E186" s="34"/>
      <c r="F186" s="34"/>
      <c r="G186" s="34"/>
      <c r="H186" s="34"/>
      <c r="I186" s="34"/>
      <c r="J186" s="34"/>
      <c r="K186" s="34"/>
      <c r="L186" s="34"/>
      <c r="M186" s="34"/>
      <c r="N186" s="34"/>
      <c r="O186" s="34"/>
      <c r="P186" s="34"/>
      <c r="Q186" s="34"/>
      <c r="R186" s="34"/>
      <c r="S186" s="34"/>
      <c r="T186" s="34"/>
      <c r="U186" s="130"/>
      <c r="V186" s="36"/>
      <c r="W186" s="36"/>
      <c r="X186" s="129" t="s">
        <v>567</v>
      </c>
      <c r="Y186" s="130"/>
      <c r="Z186" s="130"/>
      <c r="AA186" s="130"/>
      <c r="AB186" s="129"/>
      <c r="AC186" s="130"/>
      <c r="AD186" s="130"/>
    </row>
    <row r="187" spans="1:30">
      <c r="A187" s="34"/>
      <c r="B187" s="34"/>
      <c r="C187" s="34"/>
      <c r="D187" s="34"/>
      <c r="E187" s="34"/>
      <c r="F187" s="34"/>
      <c r="G187" s="34"/>
      <c r="H187" s="34"/>
      <c r="I187" s="34"/>
      <c r="J187" s="34"/>
      <c r="K187" s="34"/>
      <c r="L187" s="34"/>
      <c r="M187" s="34"/>
      <c r="N187" s="34"/>
      <c r="O187" s="34"/>
      <c r="P187" s="34"/>
      <c r="Q187" s="34"/>
      <c r="R187" s="34"/>
      <c r="S187" s="34"/>
      <c r="T187" s="34"/>
      <c r="U187" s="130"/>
      <c r="V187" s="36"/>
      <c r="W187" s="36"/>
      <c r="X187" s="129" t="s">
        <v>569</v>
      </c>
      <c r="Y187" s="130"/>
      <c r="Z187" s="130"/>
      <c r="AA187" s="130"/>
      <c r="AB187" s="129"/>
      <c r="AC187" s="130"/>
      <c r="AD187" s="130"/>
    </row>
    <row r="188" spans="1:30">
      <c r="A188" s="34"/>
      <c r="B188" s="34"/>
      <c r="C188" s="34"/>
      <c r="D188" s="34"/>
      <c r="E188" s="34"/>
      <c r="F188" s="34"/>
      <c r="G188" s="34"/>
      <c r="H188" s="34"/>
      <c r="I188" s="34"/>
      <c r="J188" s="34"/>
      <c r="K188" s="34"/>
      <c r="L188" s="34"/>
      <c r="M188" s="34"/>
      <c r="N188" s="34"/>
      <c r="O188" s="34"/>
      <c r="P188" s="34"/>
      <c r="Q188" s="34"/>
      <c r="R188" s="34"/>
      <c r="S188" s="34"/>
      <c r="T188" s="34"/>
      <c r="U188" s="130"/>
      <c r="V188" s="36"/>
      <c r="W188" s="36"/>
      <c r="X188" s="129" t="s">
        <v>570</v>
      </c>
      <c r="Y188" s="130"/>
      <c r="Z188" s="130"/>
      <c r="AA188" s="130"/>
      <c r="AB188" s="129"/>
      <c r="AC188" s="130"/>
      <c r="AD188" s="130"/>
    </row>
    <row r="189" spans="1:30">
      <c r="A189" s="34"/>
      <c r="B189" s="34"/>
      <c r="C189" s="34"/>
      <c r="D189" s="34"/>
      <c r="E189" s="34"/>
      <c r="F189" s="34"/>
      <c r="G189" s="34"/>
      <c r="H189" s="34"/>
      <c r="I189" s="34"/>
      <c r="J189" s="34"/>
      <c r="K189" s="34"/>
      <c r="L189" s="34"/>
      <c r="M189" s="34"/>
      <c r="N189" s="34"/>
      <c r="O189" s="34"/>
      <c r="P189" s="34"/>
      <c r="Q189" s="34"/>
      <c r="R189" s="34"/>
      <c r="S189" s="34"/>
      <c r="T189" s="34"/>
      <c r="U189" s="130"/>
      <c r="V189" s="36"/>
      <c r="W189" s="36"/>
      <c r="X189" s="129" t="s">
        <v>571</v>
      </c>
      <c r="Y189" s="130"/>
      <c r="Z189" s="130"/>
      <c r="AA189" s="130"/>
      <c r="AB189" s="129"/>
      <c r="AC189" s="130"/>
      <c r="AD189" s="130"/>
    </row>
    <row r="190" spans="1:30">
      <c r="A190" s="34"/>
      <c r="B190" s="34"/>
      <c r="C190" s="34"/>
      <c r="D190" s="34"/>
      <c r="E190" s="34"/>
      <c r="F190" s="34"/>
      <c r="G190" s="34"/>
      <c r="H190" s="34"/>
      <c r="I190" s="34"/>
      <c r="J190" s="34"/>
      <c r="K190" s="34"/>
      <c r="L190" s="34"/>
      <c r="M190" s="34"/>
      <c r="N190" s="34"/>
      <c r="O190" s="34"/>
      <c r="P190" s="34"/>
      <c r="Q190" s="34"/>
      <c r="R190" s="34"/>
      <c r="S190" s="34"/>
      <c r="T190" s="34"/>
      <c r="U190" s="130"/>
      <c r="V190" s="36"/>
      <c r="W190" s="36"/>
      <c r="X190" s="129" t="s">
        <v>572</v>
      </c>
      <c r="Y190" s="130"/>
      <c r="Z190" s="130"/>
      <c r="AA190" s="130"/>
      <c r="AB190" s="129"/>
      <c r="AC190" s="130"/>
      <c r="AD190" s="130"/>
    </row>
  </sheetData>
  <dataValidations count="11">
    <dataValidation type="list" allowBlank="1" showInputMessage="1" showErrorMessage="1" sqref="K3:K50">
      <formula1>$AC$3:$AC$6</formula1>
    </dataValidation>
    <dataValidation type="list" allowBlank="1" showInputMessage="1" showErrorMessage="1" sqref="I3:I50">
      <formula1>$AA$3:$AA$17</formula1>
    </dataValidation>
    <dataValidation type="list" allowBlank="1" showInputMessage="1" showErrorMessage="1" sqref="H3:H50">
      <formula1>$Z$3:$Z$9</formula1>
    </dataValidation>
    <dataValidation type="list" allowBlank="1" showInputMessage="1" showErrorMessage="1" sqref="G3:G50">
      <formula1>$Y$3:$Y$9</formula1>
    </dataValidation>
    <dataValidation type="list" allowBlank="1" showInputMessage="1" showErrorMessage="1" sqref="E3:E50">
      <formula1>$X$3:$X$191</formula1>
    </dataValidation>
    <dataValidation type="list" allowBlank="1" showInputMessage="1" showErrorMessage="1" sqref="D3:D50">
      <formula1>$W$3:$W$58</formula1>
    </dataValidation>
    <dataValidation type="list" allowBlank="1" showInputMessage="1" showErrorMessage="1" sqref="C3:C50">
      <formula1>$V$3:$V$18</formula1>
    </dataValidation>
    <dataValidation type="list" allowBlank="1" showInputMessage="1" showErrorMessage="1" sqref="O3:O50">
      <formula1>$AD$3:$AD$14</formula1>
    </dataValidation>
    <dataValidation type="list" allowBlank="1" showInputMessage="1" showErrorMessage="1" sqref="J3:J50">
      <formula1>$AB$3:$AB$65</formula1>
    </dataValidation>
    <dataValidation type="list" allowBlank="1" showInputMessage="1" showErrorMessage="1" sqref="F3:F50">
      <formula1>"Yes,No"</formula1>
    </dataValidation>
    <dataValidation type="list" allowBlank="1" showInputMessage="1" showErrorMessage="1" sqref="B3:B50">
      <formula1>$U$3:$U$8</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12"/>
  <dimension ref="A1:BI47"/>
  <sheetViews>
    <sheetView topLeftCell="O1" workbookViewId="0">
      <selection activeCell="T7" sqref="T7"/>
    </sheetView>
  </sheetViews>
  <sheetFormatPr defaultRowHeight="12.75"/>
  <cols>
    <col min="1" max="10" width="9.140625" style="179"/>
    <col min="11" max="11" width="7.28515625" style="179" customWidth="1"/>
    <col min="12" max="14" width="9.140625" style="179"/>
    <col min="15" max="15" width="36.28515625" style="179" customWidth="1"/>
    <col min="16" max="20" width="9.140625" style="179"/>
    <col min="21" max="21" width="10.7109375" style="179" customWidth="1"/>
    <col min="22" max="16384" width="9.140625" style="179"/>
  </cols>
  <sheetData>
    <row r="1" spans="1:61">
      <c r="E1" s="179" t="s">
        <v>776</v>
      </c>
    </row>
    <row r="4" spans="1:61">
      <c r="T4" s="179" t="s">
        <v>770</v>
      </c>
      <c r="X4" s="179" t="s">
        <v>777</v>
      </c>
      <c r="Z4" s="179" t="s">
        <v>909</v>
      </c>
    </row>
    <row r="5" spans="1:61">
      <c r="T5" s="180" t="s">
        <v>143</v>
      </c>
      <c r="U5" s="181"/>
      <c r="V5" s="181"/>
      <c r="W5" s="182"/>
      <c r="X5" s="183" t="s">
        <v>739</v>
      </c>
      <c r="Y5" s="183"/>
      <c r="Z5" s="183"/>
      <c r="AA5" s="183"/>
      <c r="AB5" s="183"/>
      <c r="AC5" s="182"/>
      <c r="AD5" s="184" t="s">
        <v>740</v>
      </c>
      <c r="AE5" s="184"/>
      <c r="AF5" s="182"/>
      <c r="AG5" s="185" t="s">
        <v>225</v>
      </c>
      <c r="AH5" s="185"/>
      <c r="AI5" s="182"/>
      <c r="AJ5" s="186" t="s">
        <v>741</v>
      </c>
      <c r="AK5" s="187"/>
      <c r="AL5" s="187"/>
      <c r="AM5" s="187"/>
      <c r="AN5" s="187"/>
      <c r="AO5" s="182"/>
      <c r="AP5" s="185" t="s">
        <v>120</v>
      </c>
      <c r="AQ5" s="182"/>
      <c r="AR5" s="1" t="s">
        <v>18</v>
      </c>
      <c r="AS5" s="2"/>
      <c r="AT5" s="2"/>
      <c r="AU5" s="2"/>
      <c r="AV5" s="2"/>
      <c r="AW5" s="2"/>
      <c r="AX5" s="3"/>
      <c r="AY5" s="4"/>
      <c r="AZ5" s="378" t="s">
        <v>4</v>
      </c>
      <c r="BA5" s="379"/>
      <c r="BB5" s="379"/>
      <c r="BC5" s="379"/>
      <c r="BD5" s="379"/>
      <c r="BE5" s="380"/>
      <c r="BF5" s="382" t="s">
        <v>40</v>
      </c>
      <c r="BG5" s="383"/>
    </row>
    <row r="6" spans="1:61" s="182" customFormat="1" ht="102">
      <c r="A6" s="188" t="s">
        <v>742</v>
      </c>
      <c r="B6" s="188"/>
      <c r="C6" s="188"/>
      <c r="D6" s="188"/>
      <c r="E6" s="188"/>
      <c r="F6" s="182" t="s">
        <v>743</v>
      </c>
      <c r="G6" s="189" t="s">
        <v>223</v>
      </c>
      <c r="H6" s="189" t="s">
        <v>744</v>
      </c>
      <c r="I6" s="189" t="s">
        <v>745</v>
      </c>
      <c r="J6" s="189" t="s">
        <v>746</v>
      </c>
      <c r="K6" s="189" t="s">
        <v>747</v>
      </c>
      <c r="L6" s="190" t="s">
        <v>138</v>
      </c>
      <c r="M6" s="189" t="s">
        <v>748</v>
      </c>
      <c r="N6" s="189" t="s">
        <v>749</v>
      </c>
      <c r="O6" s="189" t="s">
        <v>750</v>
      </c>
      <c r="P6" s="189" t="s">
        <v>751</v>
      </c>
      <c r="Q6" s="189" t="s">
        <v>752</v>
      </c>
      <c r="R6" s="189" t="s">
        <v>753</v>
      </c>
      <c r="S6" s="189" t="s">
        <v>138</v>
      </c>
      <c r="T6" s="189" t="s">
        <v>754</v>
      </c>
      <c r="U6" s="189" t="s">
        <v>778</v>
      </c>
      <c r="V6" s="189" t="s">
        <v>755</v>
      </c>
      <c r="W6" s="189" t="s">
        <v>138</v>
      </c>
      <c r="X6" s="189" t="s">
        <v>756</v>
      </c>
      <c r="Y6" s="189" t="s">
        <v>754</v>
      </c>
      <c r="Z6" s="189" t="s">
        <v>182</v>
      </c>
      <c r="AA6" s="189" t="s">
        <v>757</v>
      </c>
      <c r="AB6" s="189" t="s">
        <v>755</v>
      </c>
      <c r="AC6" s="189" t="s">
        <v>138</v>
      </c>
      <c r="AD6" s="189" t="s">
        <v>758</v>
      </c>
      <c r="AE6" s="189" t="s">
        <v>759</v>
      </c>
      <c r="AF6" s="189" t="s">
        <v>138</v>
      </c>
      <c r="AG6" s="189" t="s">
        <v>760</v>
      </c>
      <c r="AH6" s="189" t="s">
        <v>761</v>
      </c>
      <c r="AI6" s="189" t="s">
        <v>138</v>
      </c>
      <c r="AJ6" s="189" t="s">
        <v>762</v>
      </c>
      <c r="AK6" s="189" t="s">
        <v>763</v>
      </c>
      <c r="AL6" s="189" t="s">
        <v>764</v>
      </c>
      <c r="AM6" s="189" t="s">
        <v>765</v>
      </c>
      <c r="AN6" s="189" t="s">
        <v>766</v>
      </c>
      <c r="AO6" s="189" t="s">
        <v>138</v>
      </c>
      <c r="AP6" s="189" t="s">
        <v>767</v>
      </c>
      <c r="AQ6" s="189" t="s">
        <v>138</v>
      </c>
      <c r="AR6" s="28" t="s">
        <v>19</v>
      </c>
      <c r="AS6" s="28" t="s">
        <v>20</v>
      </c>
      <c r="AT6" s="28" t="s">
        <v>29</v>
      </c>
      <c r="AU6" s="28" t="s">
        <v>30</v>
      </c>
      <c r="AV6" s="28" t="s">
        <v>31</v>
      </c>
      <c r="AW6" s="10" t="s">
        <v>32</v>
      </c>
      <c r="AX6" s="28" t="s">
        <v>21</v>
      </c>
      <c r="AY6" s="11" t="s">
        <v>33</v>
      </c>
      <c r="AZ6" s="11" t="s">
        <v>22</v>
      </c>
      <c r="BA6" s="11" t="s">
        <v>23</v>
      </c>
      <c r="BB6" s="11" t="s">
        <v>24</v>
      </c>
      <c r="BC6" s="11" t="s">
        <v>25</v>
      </c>
      <c r="BD6" s="11" t="s">
        <v>26</v>
      </c>
      <c r="BE6" s="11" t="s">
        <v>27</v>
      </c>
      <c r="BF6" s="191" t="s">
        <v>5</v>
      </c>
      <c r="BG6" s="11" t="s">
        <v>21</v>
      </c>
      <c r="BH6" s="174"/>
      <c r="BI6" s="175"/>
    </row>
    <row r="7" spans="1:61" s="182" customFormat="1">
      <c r="A7" s="188"/>
      <c r="B7" s="188"/>
      <c r="C7" s="188"/>
      <c r="D7" s="188"/>
      <c r="E7" s="188"/>
      <c r="F7" s="188" t="s">
        <v>779</v>
      </c>
      <c r="G7" s="192"/>
      <c r="H7" s="182" t="s">
        <v>902</v>
      </c>
      <c r="I7" s="182" t="s">
        <v>768</v>
      </c>
      <c r="J7" s="182" t="s">
        <v>774</v>
      </c>
      <c r="K7" s="182" t="s">
        <v>773</v>
      </c>
      <c r="M7" s="182" t="str">
        <f t="shared" ref="M7:M9" si="0">I7&amp;J7</f>
        <v>General Purpose and Dimmable250 to 664 lumens</v>
      </c>
      <c r="N7" s="182" t="str">
        <f t="shared" ref="N7:N9" si="1">CONCATENATE(H7,I7,J7)</f>
        <v>45lm/WGeneral Purpose and Dimmable250 to 664 lumens</v>
      </c>
      <c r="O7" s="182" t="str">
        <f t="shared" ref="O7:O9" si="2">CONCATENATE(G7,H7,I7,J7,K7)</f>
        <v>45lm/WGeneral Purpose and Dimmable250 to 664 lumensANY</v>
      </c>
      <c r="P7" s="193">
        <f>VLOOKUP($M7,'[3]Summary Tables'!$E$49:$N$63,7,FALSE)</f>
        <v>1.7465101483744099</v>
      </c>
      <c r="Q7" s="193">
        <f>VLOOKUP($M7,'[3]Summary Tables'!$E$49:$N$63,9,FALSE)</f>
        <v>0.91416456188155615</v>
      </c>
      <c r="R7" s="193">
        <f>VLOOKUP($M7,'[3]Summary Tables'!$E$49:$N$63,10,FALSE)</f>
        <v>473.98970089307483</v>
      </c>
      <c r="S7" s="193"/>
      <c r="T7" s="149">
        <f>VLOOKUP($M7,'[3]Summary Tables'!$E$49:$N$63,5,FALSE)</f>
        <v>30</v>
      </c>
      <c r="U7" s="194">
        <f>VLOOKUP($M7,'[3]Summary Tables'!$E$49:$N$63,6,FALSE)</f>
        <v>2.2922322650479003</v>
      </c>
      <c r="V7" s="149">
        <f>VLOOKUP($M7,'[3]Summary Tables'!$E$49:$N$63,8,FALSE)</f>
        <v>2.2212671328668137</v>
      </c>
      <c r="X7" s="195">
        <v>45</v>
      </c>
      <c r="Y7" s="193">
        <f>R7/X7</f>
        <v>10.533104464290552</v>
      </c>
      <c r="Z7" s="196">
        <v>2.1592275874141325</v>
      </c>
      <c r="AA7" s="178">
        <v>5447.6374269005855</v>
      </c>
      <c r="AB7" s="193">
        <v>8.5397834253252132</v>
      </c>
      <c r="AD7" s="176">
        <v>1</v>
      </c>
      <c r="AE7" s="176">
        <v>1</v>
      </c>
      <c r="AG7" s="176">
        <f>1-Q7*('[3]Space Conditioning Interaction'!$B$23)</f>
        <v>0.81992431834677726</v>
      </c>
      <c r="AH7" s="182">
        <v>8.913509958799231E-3</v>
      </c>
      <c r="AJ7" s="182">
        <f>T7*P7*365.25/1000</f>
        <v>19.137384950812596</v>
      </c>
      <c r="AK7" s="182">
        <f>Y7*P7*365.25/1000</f>
        <v>6.7192024953416993</v>
      </c>
      <c r="AL7" s="193">
        <f>AJ7-AK7</f>
        <v>12.418182455470896</v>
      </c>
      <c r="AM7" s="193">
        <f>AL7*AD7</f>
        <v>12.418182455470896</v>
      </c>
      <c r="AN7" s="193">
        <f>AM7*AG7</f>
        <v>10.181969784907883</v>
      </c>
      <c r="AP7" s="182">
        <f>-1*AM7*AH7</f>
        <v>-0.11068959298702573</v>
      </c>
      <c r="AR7" s="182" t="str">
        <f>F7&amp;H7&amp;I7&amp;J7&amp;K7</f>
        <v>all45lm/WGeneral Purpose and Dimmable250 to 664 lumensANY</v>
      </c>
      <c r="AS7" s="182" t="str">
        <f>O7</f>
        <v>45lm/WGeneral Purpose and Dimmable250 to 664 lumensANY</v>
      </c>
      <c r="AT7" s="182">
        <f>IF(ISERROR($AN7),0,AN7)</f>
        <v>10.181969784907883</v>
      </c>
      <c r="AU7" s="193">
        <f>IF(ISERROR($AN7),1,AB7*AE7)</f>
        <v>8.5397834253252132</v>
      </c>
      <c r="AV7" s="182">
        <f>MAX(0.05,IF(ISERROR($AN7),999,Z7-U7))</f>
        <v>0.05</v>
      </c>
      <c r="AW7" s="182">
        <v>0</v>
      </c>
      <c r="AX7" s="35" t="s">
        <v>771</v>
      </c>
      <c r="AY7" s="197"/>
      <c r="AZ7">
        <f t="shared" ref="AZ7" si="3">IF(ISERROR($AN7),999,U7*-1)</f>
        <v>-2.2922322650479003</v>
      </c>
      <c r="BA7">
        <f t="shared" ref="BA7" si="4">IF(ISERROR($AN7),999,V7)</f>
        <v>2.2212671328668137</v>
      </c>
      <c r="BF7" s="182">
        <f>IF(ISERROR($AN7),999,AP7)</f>
        <v>-0.11068959298702573</v>
      </c>
      <c r="BG7" s="35" t="s">
        <v>772</v>
      </c>
      <c r="BI7" s="198"/>
    </row>
    <row r="8" spans="1:61" s="182" customFormat="1">
      <c r="A8" s="188"/>
      <c r="B8" s="188"/>
      <c r="C8" s="188"/>
      <c r="D8" s="188"/>
      <c r="E8" s="188"/>
      <c r="F8" s="188" t="s">
        <v>779</v>
      </c>
      <c r="G8" s="192"/>
      <c r="H8" s="182" t="s">
        <v>902</v>
      </c>
      <c r="I8" s="182" t="s">
        <v>768</v>
      </c>
      <c r="J8" s="182" t="s">
        <v>769</v>
      </c>
      <c r="K8" s="182" t="s">
        <v>773</v>
      </c>
      <c r="M8" s="182" t="str">
        <f t="shared" si="0"/>
        <v>General Purpose and Dimmable665 to 1439 lumens</v>
      </c>
      <c r="N8" s="182" t="str">
        <f t="shared" si="1"/>
        <v>45lm/WGeneral Purpose and Dimmable665 to 1439 lumens</v>
      </c>
      <c r="O8" s="182" t="str">
        <f t="shared" si="2"/>
        <v>45lm/WGeneral Purpose and Dimmable665 to 1439 lumensANY</v>
      </c>
      <c r="P8" s="193">
        <f>VLOOKUP($M8,'[3]Summary Tables'!$E$49:$N$63,7,FALSE)</f>
        <v>1.8773637680174413</v>
      </c>
      <c r="Q8" s="193">
        <f>VLOOKUP($M8,'[3]Summary Tables'!$E$49:$N$63,9,FALSE)</f>
        <v>0.85791980570535631</v>
      </c>
      <c r="R8" s="193">
        <f>VLOOKUP($M8,'[3]Summary Tables'!$E$49:$N$63,10,FALSE)</f>
        <v>949.2054457712826</v>
      </c>
      <c r="S8" s="193"/>
      <c r="T8" s="149">
        <f>VLOOKUP($M8,'[3]Summary Tables'!$E$49:$N$63,5,FALSE)</f>
        <v>28.108457226419695</v>
      </c>
      <c r="U8" s="194">
        <f>VLOOKUP($M8,'[3]Summary Tables'!$E$49:$N$63,6,FALSE)</f>
        <v>1.8938582807005411</v>
      </c>
      <c r="V8" s="149">
        <f>VLOOKUP($M8,'[3]Summary Tables'!$E$49:$N$63,8,FALSE)</f>
        <v>4.3220699727314233</v>
      </c>
      <c r="X8" s="195">
        <v>45</v>
      </c>
      <c r="Y8" s="193">
        <f>R8/X8</f>
        <v>21.093454350472946</v>
      </c>
      <c r="Z8" s="196">
        <v>1.4522786346527323</v>
      </c>
      <c r="AA8" s="178">
        <v>5447.6374269005855</v>
      </c>
      <c r="AB8" s="193">
        <v>7.9445543113898527</v>
      </c>
      <c r="AD8" s="176">
        <v>1</v>
      </c>
      <c r="AE8" s="176">
        <v>1</v>
      </c>
      <c r="AG8" s="176">
        <f>1-Q8*('[3]Space Conditioning Interaction'!$B$23)</f>
        <v>0.83100362860466148</v>
      </c>
      <c r="AH8" s="182">
        <v>8.913509958799231E-3</v>
      </c>
      <c r="AJ8" s="182">
        <f>T8*P8*365.25/1000</f>
        <v>19.274169147481086</v>
      </c>
      <c r="AK8" s="182">
        <f>Y8*P8*365.25/1000</f>
        <v>14.463931754801317</v>
      </c>
      <c r="AL8" s="193">
        <f>AJ8-AK8</f>
        <v>4.8102373926797686</v>
      </c>
      <c r="AM8" s="193">
        <f>AL8*AD8</f>
        <v>4.8102373926797686</v>
      </c>
      <c r="AN8" s="193">
        <f>AM8*AG8</f>
        <v>3.9973247277667134</v>
      </c>
      <c r="AP8" s="182">
        <f t="shared" ref="AP8:AP9" si="5">-1*AM8*AH8</f>
        <v>-4.2876098903839567E-2</v>
      </c>
      <c r="AR8" s="182" t="str">
        <f>F8&amp;H8&amp;I8&amp;J8&amp;K8</f>
        <v>all45lm/WGeneral Purpose and Dimmable665 to 1439 lumensANY</v>
      </c>
      <c r="AS8" s="182" t="str">
        <f t="shared" ref="AS8:AS9" si="6">O8</f>
        <v>45lm/WGeneral Purpose and Dimmable665 to 1439 lumensANY</v>
      </c>
      <c r="AT8" s="182">
        <f>IF(ISERROR($AN8),0,AN8)</f>
        <v>3.9973247277667134</v>
      </c>
      <c r="AU8" s="193">
        <f t="shared" ref="AU8:AU9" si="7">IF(ISERROR($AN8),1,AB8*AE8)</f>
        <v>7.9445543113898527</v>
      </c>
      <c r="AV8" s="182">
        <f t="shared" ref="AV8:AV9" si="8">MAX(0.05,IF(ISERROR($AN8),999,Z8-U8))</f>
        <v>0.05</v>
      </c>
      <c r="AW8" s="182">
        <v>0</v>
      </c>
      <c r="AX8" s="35" t="s">
        <v>771</v>
      </c>
      <c r="AY8" s="197"/>
      <c r="AZ8">
        <f t="shared" ref="AZ8:AZ9" si="9">IF(ISERROR($AN8),999,U8*-1)</f>
        <v>-1.8938582807005411</v>
      </c>
      <c r="BA8">
        <f t="shared" ref="BA8:BA9" si="10">IF(ISERROR($AN8),999,V8)</f>
        <v>4.3220699727314233</v>
      </c>
      <c r="BF8" s="182">
        <f t="shared" ref="BF8:BF9" si="11">IF(ISERROR($AN8),999,AP8)</f>
        <v>-4.2876098903839567E-2</v>
      </c>
      <c r="BG8" s="35" t="s">
        <v>772</v>
      </c>
      <c r="BI8" s="198"/>
    </row>
    <row r="9" spans="1:61" s="182" customFormat="1">
      <c r="A9" s="188"/>
      <c r="B9" s="188"/>
      <c r="C9" s="188"/>
      <c r="D9" s="188"/>
      <c r="E9" s="188"/>
      <c r="F9" s="188" t="s">
        <v>779</v>
      </c>
      <c r="G9" s="192"/>
      <c r="H9" s="182" t="s">
        <v>902</v>
      </c>
      <c r="I9" s="182" t="s">
        <v>768</v>
      </c>
      <c r="J9" s="182" t="s">
        <v>775</v>
      </c>
      <c r="K9" s="182" t="s">
        <v>773</v>
      </c>
      <c r="M9" s="182" t="str">
        <f t="shared" si="0"/>
        <v>General Purpose and Dimmable1440 to 2600 lumens</v>
      </c>
      <c r="N9" s="182" t="str">
        <f t="shared" si="1"/>
        <v>45lm/WGeneral Purpose and Dimmable1440 to 2600 lumens</v>
      </c>
      <c r="O9" s="182" t="str">
        <f t="shared" si="2"/>
        <v>45lm/WGeneral Purpose and Dimmable1440 to 2600 lumensANY</v>
      </c>
      <c r="P9" s="193">
        <f>VLOOKUP($M9,'[3]Summary Tables'!$E$49:$N$63,7,FALSE)</f>
        <v>1.9918551210859123</v>
      </c>
      <c r="Q9" s="193">
        <f>VLOOKUP($M9,'[3]Summary Tables'!$E$49:$N$63,9,FALSE)</f>
        <v>0.78917112934974476</v>
      </c>
      <c r="R9" s="193">
        <f>VLOOKUP($M9,'[3]Summary Tables'!$E$49:$N$63,10,FALSE)</f>
        <v>1747.5999304005293</v>
      </c>
      <c r="S9" s="193"/>
      <c r="T9" s="149">
        <f>VLOOKUP($M9,'[3]Summary Tables'!$E$49:$N$63,5,FALSE)</f>
        <v>37</v>
      </c>
      <c r="U9" s="194">
        <f>VLOOKUP($M9,'[3]Summary Tables'!$E$49:$N$63,6,FALSE)</f>
        <v>1.8248331017915318</v>
      </c>
      <c r="V9" s="149">
        <f>VLOOKUP($M9,'[3]Summary Tables'!$E$49:$N$63,8,FALSE)</f>
        <v>3.8347243817323542</v>
      </c>
      <c r="X9" s="195">
        <v>45</v>
      </c>
      <c r="Y9" s="193">
        <f t="shared" ref="Y9" si="12">R9/X9</f>
        <v>38.835554008900651</v>
      </c>
      <c r="Z9" s="196">
        <v>1.8911113019525783</v>
      </c>
      <c r="AA9" s="178">
        <v>5447.6374269005855</v>
      </c>
      <c r="AB9" s="193">
        <v>7.4879032412351636</v>
      </c>
      <c r="AD9" s="176">
        <v>1</v>
      </c>
      <c r="AE9" s="176">
        <v>1</v>
      </c>
      <c r="AG9" s="176">
        <f>1-Q9*('[3]Space Conditioning Interaction'!$B$23)</f>
        <v>0.84454600956505743</v>
      </c>
      <c r="AH9" s="182">
        <v>8.913509958799231E-3</v>
      </c>
      <c r="AJ9" s="182">
        <f>T9*P9*365.25/1000</f>
        <v>26.918428070135292</v>
      </c>
      <c r="AK9" s="182">
        <f>Y9*P9*365.25/1000</f>
        <v>28.253839652768821</v>
      </c>
      <c r="AL9" s="193">
        <f>AJ9-AK9</f>
        <v>-1.3354115826335295</v>
      </c>
      <c r="AM9" s="193">
        <f>AL9*AD9</f>
        <v>-1.3354115826335295</v>
      </c>
      <c r="AN9" s="193">
        <f>AM9*AG9</f>
        <v>-1.1278165232401054</v>
      </c>
      <c r="AP9" s="182">
        <f t="shared" si="5"/>
        <v>1.1903204440899809E-2</v>
      </c>
      <c r="AR9" s="182" t="str">
        <f>F9&amp;H9&amp;I9&amp;J9&amp;K9</f>
        <v>all45lm/WGeneral Purpose and Dimmable1440 to 2600 lumensANY</v>
      </c>
      <c r="AS9" s="182" t="str">
        <f t="shared" si="6"/>
        <v>45lm/WGeneral Purpose and Dimmable1440 to 2600 lumensANY</v>
      </c>
      <c r="AT9" s="182">
        <f>IF(ISERROR($AN9),0,AN9)</f>
        <v>-1.1278165232401054</v>
      </c>
      <c r="AU9" s="193">
        <f t="shared" si="7"/>
        <v>7.4879032412351636</v>
      </c>
      <c r="AV9" s="244">
        <f t="shared" si="8"/>
        <v>6.6278200161046463E-2</v>
      </c>
      <c r="AW9" s="182">
        <v>0</v>
      </c>
      <c r="AX9" s="35" t="s">
        <v>771</v>
      </c>
      <c r="AY9" s="197"/>
      <c r="AZ9">
        <f t="shared" si="9"/>
        <v>-1.8248331017915318</v>
      </c>
      <c r="BA9">
        <f t="shared" si="10"/>
        <v>3.8347243817323542</v>
      </c>
      <c r="BF9" s="182">
        <f t="shared" si="11"/>
        <v>1.1903204440899809E-2</v>
      </c>
      <c r="BG9" s="35" t="s">
        <v>772</v>
      </c>
      <c r="BI9" s="198"/>
    </row>
    <row r="10" spans="1:61">
      <c r="F10" s="199"/>
      <c r="G10" s="192"/>
      <c r="H10" s="182"/>
      <c r="I10" s="182"/>
      <c r="J10" s="182"/>
      <c r="K10" s="182"/>
      <c r="L10" s="182"/>
      <c r="M10" s="182"/>
      <c r="N10" s="182"/>
      <c r="O10" s="182"/>
      <c r="P10" s="193"/>
      <c r="Q10" s="176"/>
      <c r="R10" s="195"/>
      <c r="S10" s="182"/>
      <c r="T10" s="200"/>
      <c r="U10" s="201"/>
      <c r="V10" s="202"/>
      <c r="W10" s="182"/>
      <c r="X10" s="195"/>
      <c r="Y10" s="193"/>
      <c r="Z10" s="177"/>
      <c r="AA10" s="178"/>
      <c r="AB10" s="193"/>
      <c r="AC10" s="182"/>
      <c r="AD10" s="176"/>
      <c r="AE10" s="176"/>
      <c r="AF10" s="182"/>
      <c r="AG10" s="176"/>
      <c r="AH10" s="182"/>
      <c r="AI10" s="182"/>
      <c r="AJ10" s="203"/>
      <c r="AK10" s="182"/>
      <c r="AL10" s="203"/>
      <c r="AM10" s="182"/>
      <c r="AN10" s="182"/>
      <c r="AO10" s="182"/>
      <c r="AP10" s="182"/>
      <c r="AQ10" s="182"/>
      <c r="AR10" s="182"/>
      <c r="AS10" s="182"/>
      <c r="AT10" s="182"/>
      <c r="AU10" s="193"/>
      <c r="AV10" s="182"/>
      <c r="AW10" s="182"/>
      <c r="AX10" s="192"/>
      <c r="AY10" s="182"/>
      <c r="AZ10" s="204"/>
      <c r="BA10" s="193"/>
      <c r="BB10" s="182"/>
      <c r="BC10" s="182"/>
      <c r="BD10" s="182"/>
      <c r="BE10" s="182"/>
      <c r="BF10" s="182"/>
      <c r="BG10" s="182"/>
    </row>
    <row r="18" s="182" customFormat="1"/>
    <row r="19" s="182" customFormat="1"/>
    <row r="20" s="182" customFormat="1"/>
    <row r="21" s="182" customFormat="1"/>
    <row r="22" s="182" customFormat="1"/>
    <row r="23" s="182" customFormat="1"/>
    <row r="24" s="182" customFormat="1"/>
    <row r="25" s="182" customFormat="1"/>
    <row r="26" s="182" customFormat="1"/>
    <row r="27" s="182" customFormat="1"/>
    <row r="28" s="182" customFormat="1"/>
    <row r="29" s="182" customFormat="1"/>
    <row r="30" s="182" customFormat="1"/>
    <row r="31" s="182" customFormat="1"/>
    <row r="3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sheetData>
  <mergeCells count="2">
    <mergeCell ref="AZ5:BE5"/>
    <mergeCell ref="BF5:BG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1"/>
  <dimension ref="A1:G12"/>
  <sheetViews>
    <sheetView workbookViewId="0">
      <selection activeCell="E22" sqref="E22"/>
    </sheetView>
  </sheetViews>
  <sheetFormatPr defaultRowHeight="12.75"/>
  <cols>
    <col min="1" max="1" width="34" bestFit="1" customWidth="1"/>
    <col min="2" max="2" width="14.28515625" bestFit="1" customWidth="1"/>
    <col min="3" max="3" width="23.5703125" bestFit="1" customWidth="1"/>
    <col min="4" max="4" width="10.85546875" bestFit="1" customWidth="1"/>
    <col min="5" max="5" width="19.85546875" bestFit="1" customWidth="1"/>
    <col min="6" max="6" width="9.28515625" bestFit="1" customWidth="1"/>
    <col min="7" max="7" width="31.42578125" bestFit="1" customWidth="1"/>
  </cols>
  <sheetData>
    <row r="1" spans="1:7">
      <c r="A1" t="s">
        <v>170</v>
      </c>
      <c r="B1" t="s">
        <v>171</v>
      </c>
      <c r="C1" t="s">
        <v>172</v>
      </c>
      <c r="D1" t="s">
        <v>67</v>
      </c>
      <c r="E1" t="s">
        <v>173</v>
      </c>
      <c r="F1" t="s">
        <v>174</v>
      </c>
      <c r="G1" t="s">
        <v>143</v>
      </c>
    </row>
    <row r="2" spans="1:7">
      <c r="A2" t="s">
        <v>175</v>
      </c>
      <c r="B2" t="s">
        <v>66</v>
      </c>
      <c r="C2" t="s">
        <v>176</v>
      </c>
      <c r="D2" t="s">
        <v>177</v>
      </c>
      <c r="E2" t="s">
        <v>178</v>
      </c>
      <c r="F2" t="s">
        <v>179</v>
      </c>
      <c r="G2" t="s">
        <v>180</v>
      </c>
    </row>
    <row r="3" spans="1:7">
      <c r="A3" t="s">
        <v>181</v>
      </c>
      <c r="B3" t="s">
        <v>182</v>
      </c>
      <c r="C3" t="s">
        <v>183</v>
      </c>
      <c r="D3" t="s">
        <v>184</v>
      </c>
      <c r="E3" t="s">
        <v>185</v>
      </c>
      <c r="F3" t="s">
        <v>186</v>
      </c>
      <c r="G3" t="s">
        <v>187</v>
      </c>
    </row>
    <row r="4" spans="1:7">
      <c r="A4" t="s">
        <v>188</v>
      </c>
      <c r="B4" t="s">
        <v>189</v>
      </c>
      <c r="C4" t="s">
        <v>190</v>
      </c>
      <c r="D4" t="s">
        <v>191</v>
      </c>
      <c r="E4" t="s">
        <v>192</v>
      </c>
      <c r="F4" t="s">
        <v>193</v>
      </c>
      <c r="G4" t="s">
        <v>194</v>
      </c>
    </row>
    <row r="5" spans="1:7">
      <c r="A5" t="s">
        <v>195</v>
      </c>
      <c r="B5" t="s">
        <v>196</v>
      </c>
      <c r="C5" t="s">
        <v>197</v>
      </c>
      <c r="D5" t="s">
        <v>198</v>
      </c>
      <c r="E5" t="s">
        <v>162</v>
      </c>
    </row>
    <row r="6" spans="1:7">
      <c r="A6" t="s">
        <v>199</v>
      </c>
      <c r="B6" t="s">
        <v>200</v>
      </c>
      <c r="C6" t="s">
        <v>162</v>
      </c>
      <c r="D6" t="s">
        <v>162</v>
      </c>
    </row>
    <row r="7" spans="1:7">
      <c r="A7" t="s">
        <v>201</v>
      </c>
      <c r="B7" t="s">
        <v>202</v>
      </c>
    </row>
    <row r="8" spans="1:7">
      <c r="A8" t="s">
        <v>203</v>
      </c>
      <c r="B8" t="s">
        <v>162</v>
      </c>
    </row>
    <row r="9" spans="1:7">
      <c r="A9" t="s">
        <v>204</v>
      </c>
    </row>
    <row r="10" spans="1:7">
      <c r="A10" t="s">
        <v>205</v>
      </c>
    </row>
    <row r="11" spans="1:7">
      <c r="A11" t="s">
        <v>206</v>
      </c>
    </row>
    <row r="12" spans="1:7">
      <c r="A1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Sheet3">
    <tabColor rgb="FF92D050"/>
  </sheetPr>
  <dimension ref="A1:X9"/>
  <sheetViews>
    <sheetView workbookViewId="0">
      <selection activeCell="B18" sqref="B18"/>
    </sheetView>
  </sheetViews>
  <sheetFormatPr defaultRowHeight="12.75"/>
  <cols>
    <col min="1" max="1" width="13.5703125" bestFit="1" customWidth="1"/>
    <col min="2" max="2" width="42.5703125" bestFit="1" customWidth="1"/>
    <col min="3" max="3" width="12.85546875" customWidth="1"/>
    <col min="4" max="4" width="19.85546875" customWidth="1"/>
    <col min="5" max="5" width="17.7109375" customWidth="1"/>
    <col min="6" max="6" width="34.28515625" customWidth="1"/>
    <col min="7" max="7" width="17" bestFit="1" customWidth="1"/>
    <col min="8" max="8" width="17.7109375" customWidth="1"/>
    <col min="9" max="9" width="19.5703125" customWidth="1"/>
    <col min="10" max="10" width="29.140625" bestFit="1" customWidth="1"/>
    <col min="11" max="11" width="41.7109375" bestFit="1" customWidth="1"/>
    <col min="12" max="12" width="30.5703125" bestFit="1" customWidth="1"/>
    <col min="13" max="13" width="32.5703125" bestFit="1" customWidth="1"/>
    <col min="14" max="14" width="19.42578125" bestFit="1" customWidth="1"/>
    <col min="15" max="15" width="45.28515625" bestFit="1" customWidth="1"/>
    <col min="16" max="16" width="13.5703125" bestFit="1" customWidth="1"/>
    <col min="17" max="17" width="17.5703125" customWidth="1"/>
    <col min="18" max="18" width="13.140625" bestFit="1" customWidth="1"/>
    <col min="19" max="19" width="15.85546875" customWidth="1"/>
    <col min="20" max="20" width="40.5703125" customWidth="1"/>
    <col min="21" max="21" width="31.28515625" customWidth="1"/>
    <col min="22" max="22" width="30.42578125" customWidth="1"/>
    <col min="23" max="23" width="30" bestFit="1" customWidth="1"/>
    <col min="24" max="24" width="57.28515625" customWidth="1"/>
  </cols>
  <sheetData>
    <row r="1" spans="1:24" ht="15">
      <c r="A1" s="24"/>
      <c r="B1" s="24"/>
      <c r="C1" s="107">
        <v>2</v>
      </c>
      <c r="D1" s="107">
        <f t="shared" ref="D1:I1" si="0">C1+1</f>
        <v>3</v>
      </c>
      <c r="E1" s="107">
        <f t="shared" si="0"/>
        <v>4</v>
      </c>
      <c r="F1" s="107">
        <f t="shared" si="0"/>
        <v>5</v>
      </c>
      <c r="G1" s="107">
        <f t="shared" si="0"/>
        <v>6</v>
      </c>
      <c r="H1" s="107">
        <f t="shared" si="0"/>
        <v>7</v>
      </c>
      <c r="I1" s="107">
        <f t="shared" si="0"/>
        <v>8</v>
      </c>
      <c r="J1" s="107"/>
      <c r="K1" s="107"/>
      <c r="L1" s="107"/>
      <c r="M1" s="107"/>
      <c r="N1" s="107"/>
      <c r="O1" s="107"/>
      <c r="P1" s="107"/>
      <c r="Q1" s="107">
        <f>I1+1</f>
        <v>9</v>
      </c>
      <c r="R1" s="107">
        <f t="shared" ref="R1:X1" si="1">Q1+1</f>
        <v>10</v>
      </c>
      <c r="S1" s="107">
        <f t="shared" si="1"/>
        <v>11</v>
      </c>
      <c r="T1" s="107">
        <f t="shared" si="1"/>
        <v>12</v>
      </c>
      <c r="U1" s="107">
        <f t="shared" si="1"/>
        <v>13</v>
      </c>
      <c r="V1" s="107">
        <f t="shared" si="1"/>
        <v>14</v>
      </c>
      <c r="W1" s="107">
        <f t="shared" si="1"/>
        <v>15</v>
      </c>
      <c r="X1" s="107">
        <f t="shared" si="1"/>
        <v>16</v>
      </c>
    </row>
    <row r="2" spans="1:24" ht="15">
      <c r="A2" s="24"/>
      <c r="B2" s="24"/>
      <c r="C2" s="107"/>
      <c r="D2" s="107"/>
      <c r="E2" s="107"/>
      <c r="F2" s="107"/>
      <c r="G2" s="107"/>
      <c r="H2" s="107"/>
      <c r="I2" s="107"/>
      <c r="J2" s="107">
        <v>4</v>
      </c>
      <c r="K2" s="107">
        <v>12</v>
      </c>
      <c r="L2" s="107">
        <v>6</v>
      </c>
      <c r="M2" s="107">
        <v>7</v>
      </c>
      <c r="N2" s="107">
        <v>3</v>
      </c>
      <c r="O2" s="107">
        <v>82</v>
      </c>
      <c r="P2" s="107"/>
      <c r="Q2" s="107"/>
      <c r="R2" s="107"/>
      <c r="S2" s="107"/>
      <c r="T2" s="107"/>
      <c r="U2" s="107"/>
      <c r="V2" s="107"/>
      <c r="W2" s="107"/>
      <c r="X2" s="107"/>
    </row>
    <row r="3" spans="1:24" ht="15">
      <c r="C3" s="108"/>
      <c r="D3" s="108"/>
      <c r="E3" s="108"/>
      <c r="F3" s="108"/>
      <c r="G3" s="109"/>
      <c r="H3" s="109"/>
      <c r="I3" s="109"/>
      <c r="J3" s="109"/>
      <c r="K3" s="109"/>
      <c r="L3" s="109"/>
      <c r="M3" s="109"/>
      <c r="N3" s="109"/>
      <c r="O3" s="109"/>
      <c r="P3" s="109"/>
      <c r="Q3" s="108"/>
      <c r="R3" s="108"/>
      <c r="S3" s="109"/>
      <c r="T3" s="109"/>
      <c r="U3" s="109"/>
      <c r="V3" s="109"/>
      <c r="W3" s="109"/>
      <c r="X3" s="109"/>
    </row>
    <row r="4" spans="1:24" ht="15">
      <c r="B4" s="25"/>
      <c r="C4" s="110"/>
      <c r="D4" s="111"/>
      <c r="E4" s="111"/>
      <c r="F4" s="111"/>
      <c r="G4" s="110"/>
      <c r="H4" s="110"/>
      <c r="I4" s="110"/>
      <c r="J4" s="110">
        <v>0</v>
      </c>
      <c r="K4" s="110">
        <v>0</v>
      </c>
      <c r="L4" s="110">
        <v>2</v>
      </c>
      <c r="M4" s="110">
        <v>2</v>
      </c>
      <c r="N4" s="110">
        <v>0</v>
      </c>
      <c r="O4" s="110">
        <v>1</v>
      </c>
      <c r="P4" s="110"/>
      <c r="Q4" s="111"/>
      <c r="R4" s="111"/>
      <c r="S4" s="110"/>
      <c r="T4" s="110"/>
      <c r="U4" s="110"/>
      <c r="V4" s="110"/>
      <c r="W4" s="110"/>
      <c r="X4" s="110"/>
    </row>
    <row r="5" spans="1:24" ht="13.5" thickBot="1">
      <c r="A5" s="27" t="s">
        <v>208</v>
      </c>
      <c r="B5" s="26" t="s">
        <v>75</v>
      </c>
      <c r="C5" s="26" t="s">
        <v>73</v>
      </c>
      <c r="D5" s="26" t="s">
        <v>209</v>
      </c>
      <c r="E5" s="26" t="s">
        <v>74</v>
      </c>
      <c r="F5" s="27" t="s">
        <v>210</v>
      </c>
      <c r="G5" s="26" t="s">
        <v>82</v>
      </c>
      <c r="H5" s="26" t="s">
        <v>211</v>
      </c>
      <c r="I5" s="26" t="s">
        <v>212</v>
      </c>
      <c r="J5" s="26" t="s">
        <v>86</v>
      </c>
      <c r="K5" s="26" t="s">
        <v>87</v>
      </c>
      <c r="L5" s="26" t="s">
        <v>83</v>
      </c>
      <c r="M5" s="26" t="s">
        <v>84</v>
      </c>
      <c r="N5" s="26" t="s">
        <v>85</v>
      </c>
      <c r="O5" s="26" t="s">
        <v>88</v>
      </c>
      <c r="P5" s="26" t="s">
        <v>90</v>
      </c>
      <c r="Q5" s="26" t="s">
        <v>76</v>
      </c>
      <c r="R5" s="26" t="s">
        <v>77</v>
      </c>
      <c r="S5" s="26" t="s">
        <v>78</v>
      </c>
      <c r="T5" s="26" t="s">
        <v>81</v>
      </c>
      <c r="U5" s="27" t="s">
        <v>213</v>
      </c>
      <c r="V5" s="27" t="s">
        <v>214</v>
      </c>
      <c r="W5" s="26" t="s">
        <v>79</v>
      </c>
      <c r="X5" s="26" t="s">
        <v>89</v>
      </c>
    </row>
    <row r="6" spans="1:24" ht="15.75" thickBot="1">
      <c r="A6" s="371" t="s">
        <v>91</v>
      </c>
      <c r="B6" s="372"/>
      <c r="C6" s="372"/>
      <c r="D6" s="372"/>
      <c r="E6" s="372"/>
      <c r="F6" s="372"/>
      <c r="G6" s="372"/>
      <c r="H6" s="372"/>
      <c r="I6" s="372"/>
      <c r="J6" s="373"/>
      <c r="K6" s="371" t="s">
        <v>92</v>
      </c>
      <c r="L6" s="372"/>
      <c r="M6" s="372"/>
      <c r="N6" s="372"/>
      <c r="O6" s="373"/>
      <c r="P6" s="371" t="s">
        <v>93</v>
      </c>
      <c r="Q6" s="372"/>
      <c r="R6" s="372"/>
      <c r="S6" s="372"/>
      <c r="T6" s="372"/>
      <c r="U6" s="372"/>
      <c r="V6" s="372"/>
      <c r="W6" s="372"/>
      <c r="X6" s="373"/>
    </row>
    <row r="7" spans="1:24" ht="15">
      <c r="A7" s="112" t="s">
        <v>215</v>
      </c>
      <c r="B7" s="112" t="s">
        <v>216</v>
      </c>
      <c r="C7" s="112" t="s">
        <v>94</v>
      </c>
      <c r="D7" s="112" t="s">
        <v>217</v>
      </c>
      <c r="E7" s="112" t="s">
        <v>67</v>
      </c>
      <c r="F7" s="112" t="s">
        <v>218</v>
      </c>
      <c r="G7" s="112" t="s">
        <v>98</v>
      </c>
      <c r="H7" s="112" t="s">
        <v>211</v>
      </c>
      <c r="I7" s="112" t="s">
        <v>212</v>
      </c>
      <c r="J7" s="112" t="s">
        <v>100</v>
      </c>
      <c r="K7" s="112" t="s">
        <v>101</v>
      </c>
      <c r="L7" s="112" t="s">
        <v>83</v>
      </c>
      <c r="M7" s="112" t="s">
        <v>99</v>
      </c>
      <c r="N7" s="112" t="s">
        <v>85</v>
      </c>
      <c r="O7" s="112" t="s">
        <v>102</v>
      </c>
      <c r="P7" s="112" t="s">
        <v>103</v>
      </c>
      <c r="Q7" s="112" t="s">
        <v>95</v>
      </c>
      <c r="R7" s="112" t="s">
        <v>96</v>
      </c>
      <c r="S7" s="112" t="s">
        <v>97</v>
      </c>
      <c r="T7" s="112" t="s">
        <v>81</v>
      </c>
      <c r="U7" s="112" t="s">
        <v>213</v>
      </c>
      <c r="V7" s="112" t="s">
        <v>214</v>
      </c>
      <c r="W7" s="112" t="s">
        <v>79</v>
      </c>
      <c r="X7" s="112" t="s">
        <v>89</v>
      </c>
    </row>
    <row r="8" spans="1:24">
      <c r="A8" s="113">
        <v>1</v>
      </c>
      <c r="B8" s="114">
        <f>M_Input!A444</f>
        <v>0</v>
      </c>
      <c r="C8" s="115" t="e">
        <f t="shared" ref="C8:I9" si="2">VLOOKUP($B8,LookupTable,C$1,0)</f>
        <v>#NAME?</v>
      </c>
      <c r="D8" s="115" t="e">
        <f t="shared" si="2"/>
        <v>#NAME?</v>
      </c>
      <c r="E8" s="115" t="e">
        <f t="shared" si="2"/>
        <v>#NAME?</v>
      </c>
      <c r="F8" s="115" t="e">
        <f t="shared" si="2"/>
        <v>#NAME?</v>
      </c>
      <c r="G8" s="115" t="e">
        <f t="shared" si="2"/>
        <v>#NAME?</v>
      </c>
      <c r="H8" s="115" t="e">
        <f t="shared" si="2"/>
        <v>#NAME?</v>
      </c>
      <c r="I8" s="115" t="e">
        <f t="shared" si="2"/>
        <v>#NAME?</v>
      </c>
      <c r="J8" s="116" t="e">
        <f t="shared" ref="J8:N9" ca="1" si="3">ROUND(VLOOKUP($B8,INDIRECT(OutputRange),J$2,0),J$4)</f>
        <v>#NAME?</v>
      </c>
      <c r="K8" s="116" t="e">
        <f t="shared" ca="1" si="3"/>
        <v>#NAME?</v>
      </c>
      <c r="L8" s="116" t="e">
        <f t="shared" ca="1" si="3"/>
        <v>#NAME?</v>
      </c>
      <c r="M8" s="116" t="e">
        <f t="shared" ca="1" si="3"/>
        <v>#NAME?</v>
      </c>
      <c r="N8" s="116" t="e">
        <f t="shared" ca="1" si="3"/>
        <v>#NAME?</v>
      </c>
      <c r="O8" s="117" t="e">
        <f ca="1">ROUND(ROUND(VLOOKUP($B8,INDIRECT(OutputRange),O$2,0),1),O$4)</f>
        <v>#NAME?</v>
      </c>
      <c r="P8" s="118" t="e">
        <f ca="1">IF(O8&gt;=1,"Yes","No")</f>
        <v>#NAME?</v>
      </c>
      <c r="Q8" s="115" t="e">
        <f t="shared" ref="Q8:X9" si="4">VLOOKUP($B8,LookupTable,Q$1,0)</f>
        <v>#NAME?</v>
      </c>
      <c r="R8" s="115" t="e">
        <f t="shared" si="4"/>
        <v>#NAME?</v>
      </c>
      <c r="S8" s="115" t="e">
        <f t="shared" si="4"/>
        <v>#NAME?</v>
      </c>
      <c r="T8" s="115" t="e">
        <f t="shared" si="4"/>
        <v>#NAME?</v>
      </c>
      <c r="U8" s="115" t="e">
        <f t="shared" si="4"/>
        <v>#NAME?</v>
      </c>
      <c r="V8" s="115" t="e">
        <f t="shared" si="4"/>
        <v>#NAME?</v>
      </c>
      <c r="W8" s="115" t="e">
        <f t="shared" si="4"/>
        <v>#NAME?</v>
      </c>
      <c r="X8" s="115" t="e">
        <f t="shared" si="4"/>
        <v>#NAME?</v>
      </c>
    </row>
    <row r="9" spans="1:24">
      <c r="A9" s="113">
        <v>2</v>
      </c>
      <c r="B9" s="114">
        <f>M_Input!A445</f>
        <v>0</v>
      </c>
      <c r="C9" s="115" t="e">
        <f t="shared" si="2"/>
        <v>#NAME?</v>
      </c>
      <c r="D9" s="115" t="e">
        <f t="shared" si="2"/>
        <v>#NAME?</v>
      </c>
      <c r="E9" s="115" t="e">
        <f t="shared" si="2"/>
        <v>#NAME?</v>
      </c>
      <c r="F9" s="115" t="e">
        <f t="shared" si="2"/>
        <v>#NAME?</v>
      </c>
      <c r="G9" s="115" t="e">
        <f t="shared" si="2"/>
        <v>#NAME?</v>
      </c>
      <c r="H9" s="115" t="e">
        <f t="shared" si="2"/>
        <v>#NAME?</v>
      </c>
      <c r="I9" s="115" t="e">
        <f t="shared" si="2"/>
        <v>#NAME?</v>
      </c>
      <c r="J9" s="116" t="e">
        <f t="shared" ca="1" si="3"/>
        <v>#NAME?</v>
      </c>
      <c r="K9" s="116" t="e">
        <f t="shared" ca="1" si="3"/>
        <v>#NAME?</v>
      </c>
      <c r="L9" s="116" t="e">
        <f t="shared" ca="1" si="3"/>
        <v>#NAME?</v>
      </c>
      <c r="M9" s="116" t="e">
        <f t="shared" ca="1" si="3"/>
        <v>#NAME?</v>
      </c>
      <c r="N9" s="116" t="e">
        <f t="shared" ca="1" si="3"/>
        <v>#NAME?</v>
      </c>
      <c r="O9" s="117" t="e">
        <f ca="1">ROUND(ROUND(VLOOKUP($B9,INDIRECT(OutputRange),O$2,0),1),O$4)</f>
        <v>#NAME?</v>
      </c>
      <c r="P9" s="118" t="e">
        <f t="shared" ref="P9" ca="1" si="5">IF(O9&gt;=1,"Yes","No")</f>
        <v>#NAME?</v>
      </c>
      <c r="Q9" s="115" t="e">
        <f t="shared" si="4"/>
        <v>#NAME?</v>
      </c>
      <c r="R9" s="115" t="e">
        <f t="shared" si="4"/>
        <v>#NAME?</v>
      </c>
      <c r="S9" s="115" t="e">
        <f t="shared" si="4"/>
        <v>#NAME?</v>
      </c>
      <c r="T9" s="115" t="e">
        <f t="shared" si="4"/>
        <v>#NAME?</v>
      </c>
      <c r="U9" s="115" t="e">
        <f t="shared" si="4"/>
        <v>#NAME?</v>
      </c>
      <c r="V9" s="115" t="e">
        <f t="shared" si="4"/>
        <v>#NAME?</v>
      </c>
      <c r="W9" s="115" t="e">
        <f t="shared" si="4"/>
        <v>#NAME?</v>
      </c>
      <c r="X9" s="115" t="e">
        <f t="shared" si="4"/>
        <v>#NAME?</v>
      </c>
    </row>
  </sheetData>
  <mergeCells count="3">
    <mergeCell ref="A6:J6"/>
    <mergeCell ref="K6:O6"/>
    <mergeCell ref="P6:X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C1:F13"/>
  <sheetViews>
    <sheetView workbookViewId="0">
      <selection activeCell="E14" sqref="E14"/>
    </sheetView>
  </sheetViews>
  <sheetFormatPr defaultRowHeight="12.75"/>
  <cols>
    <col min="1" max="1" width="9.140625" style="264"/>
    <col min="2" max="2" width="26.7109375" style="264" customWidth="1"/>
    <col min="3" max="3" width="37.85546875" style="264" customWidth="1"/>
    <col min="4" max="4" width="39.140625" style="264" customWidth="1"/>
    <col min="5" max="5" width="31" style="264" customWidth="1"/>
    <col min="6" max="6" width="20.7109375" style="264" customWidth="1"/>
    <col min="7" max="257" width="9.140625" style="264"/>
    <col min="258" max="258" width="26.7109375" style="264" customWidth="1"/>
    <col min="259" max="259" width="73.7109375" style="264" customWidth="1"/>
    <col min="260" max="260" width="58.42578125" style="264" customWidth="1"/>
    <col min="261" max="261" width="28.85546875" style="264" customWidth="1"/>
    <col min="262" max="513" width="9.140625" style="264"/>
    <col min="514" max="514" width="26.7109375" style="264" customWidth="1"/>
    <col min="515" max="515" width="73.7109375" style="264" customWidth="1"/>
    <col min="516" max="516" width="58.42578125" style="264" customWidth="1"/>
    <col min="517" max="517" width="28.85546875" style="264" customWidth="1"/>
    <col min="518" max="769" width="9.140625" style="264"/>
    <col min="770" max="770" width="26.7109375" style="264" customWidth="1"/>
    <col min="771" max="771" width="73.7109375" style="264" customWidth="1"/>
    <col min="772" max="772" width="58.42578125" style="264" customWidth="1"/>
    <col min="773" max="773" width="28.85546875" style="264" customWidth="1"/>
    <col min="774" max="1025" width="9.140625" style="264"/>
    <col min="1026" max="1026" width="26.7109375" style="264" customWidth="1"/>
    <col min="1027" max="1027" width="73.7109375" style="264" customWidth="1"/>
    <col min="1028" max="1028" width="58.42578125" style="264" customWidth="1"/>
    <col min="1029" max="1029" width="28.85546875" style="264" customWidth="1"/>
    <col min="1030" max="1281" width="9.140625" style="264"/>
    <col min="1282" max="1282" width="26.7109375" style="264" customWidth="1"/>
    <col min="1283" max="1283" width="73.7109375" style="264" customWidth="1"/>
    <col min="1284" max="1284" width="58.42578125" style="264" customWidth="1"/>
    <col min="1285" max="1285" width="28.85546875" style="264" customWidth="1"/>
    <col min="1286" max="1537" width="9.140625" style="264"/>
    <col min="1538" max="1538" width="26.7109375" style="264" customWidth="1"/>
    <col min="1539" max="1539" width="73.7109375" style="264" customWidth="1"/>
    <col min="1540" max="1540" width="58.42578125" style="264" customWidth="1"/>
    <col min="1541" max="1541" width="28.85546875" style="264" customWidth="1"/>
    <col min="1542" max="1793" width="9.140625" style="264"/>
    <col min="1794" max="1794" width="26.7109375" style="264" customWidth="1"/>
    <col min="1795" max="1795" width="73.7109375" style="264" customWidth="1"/>
    <col min="1796" max="1796" width="58.42578125" style="264" customWidth="1"/>
    <col min="1797" max="1797" width="28.85546875" style="264" customWidth="1"/>
    <col min="1798" max="2049" width="9.140625" style="264"/>
    <col min="2050" max="2050" width="26.7109375" style="264" customWidth="1"/>
    <col min="2051" max="2051" width="73.7109375" style="264" customWidth="1"/>
    <col min="2052" max="2052" width="58.42578125" style="264" customWidth="1"/>
    <col min="2053" max="2053" width="28.85546875" style="264" customWidth="1"/>
    <col min="2054" max="2305" width="9.140625" style="264"/>
    <col min="2306" max="2306" width="26.7109375" style="264" customWidth="1"/>
    <col min="2307" max="2307" width="73.7109375" style="264" customWidth="1"/>
    <col min="2308" max="2308" width="58.42578125" style="264" customWidth="1"/>
    <col min="2309" max="2309" width="28.85546875" style="264" customWidth="1"/>
    <col min="2310" max="2561" width="9.140625" style="264"/>
    <col min="2562" max="2562" width="26.7109375" style="264" customWidth="1"/>
    <col min="2563" max="2563" width="73.7109375" style="264" customWidth="1"/>
    <col min="2564" max="2564" width="58.42578125" style="264" customWidth="1"/>
    <col min="2565" max="2565" width="28.85546875" style="264" customWidth="1"/>
    <col min="2566" max="2817" width="9.140625" style="264"/>
    <col min="2818" max="2818" width="26.7109375" style="264" customWidth="1"/>
    <col min="2819" max="2819" width="73.7109375" style="264" customWidth="1"/>
    <col min="2820" max="2820" width="58.42578125" style="264" customWidth="1"/>
    <col min="2821" max="2821" width="28.85546875" style="264" customWidth="1"/>
    <col min="2822" max="3073" width="9.140625" style="264"/>
    <col min="3074" max="3074" width="26.7109375" style="264" customWidth="1"/>
    <col min="3075" max="3075" width="73.7109375" style="264" customWidth="1"/>
    <col min="3076" max="3076" width="58.42578125" style="264" customWidth="1"/>
    <col min="3077" max="3077" width="28.85546875" style="264" customWidth="1"/>
    <col min="3078" max="3329" width="9.140625" style="264"/>
    <col min="3330" max="3330" width="26.7109375" style="264" customWidth="1"/>
    <col min="3331" max="3331" width="73.7109375" style="264" customWidth="1"/>
    <col min="3332" max="3332" width="58.42578125" style="264" customWidth="1"/>
    <col min="3333" max="3333" width="28.85546875" style="264" customWidth="1"/>
    <col min="3334" max="3585" width="9.140625" style="264"/>
    <col min="3586" max="3586" width="26.7109375" style="264" customWidth="1"/>
    <col min="3587" max="3587" width="73.7109375" style="264" customWidth="1"/>
    <col min="3588" max="3588" width="58.42578125" style="264" customWidth="1"/>
    <col min="3589" max="3589" width="28.85546875" style="264" customWidth="1"/>
    <col min="3590" max="3841" width="9.140625" style="264"/>
    <col min="3842" max="3842" width="26.7109375" style="264" customWidth="1"/>
    <col min="3843" max="3843" width="73.7109375" style="264" customWidth="1"/>
    <col min="3844" max="3844" width="58.42578125" style="264" customWidth="1"/>
    <col min="3845" max="3845" width="28.85546875" style="264" customWidth="1"/>
    <col min="3846" max="4097" width="9.140625" style="264"/>
    <col min="4098" max="4098" width="26.7109375" style="264" customWidth="1"/>
    <col min="4099" max="4099" width="73.7109375" style="264" customWidth="1"/>
    <col min="4100" max="4100" width="58.42578125" style="264" customWidth="1"/>
    <col min="4101" max="4101" width="28.85546875" style="264" customWidth="1"/>
    <col min="4102" max="4353" width="9.140625" style="264"/>
    <col min="4354" max="4354" width="26.7109375" style="264" customWidth="1"/>
    <col min="4355" max="4355" width="73.7109375" style="264" customWidth="1"/>
    <col min="4356" max="4356" width="58.42578125" style="264" customWidth="1"/>
    <col min="4357" max="4357" width="28.85546875" style="264" customWidth="1"/>
    <col min="4358" max="4609" width="9.140625" style="264"/>
    <col min="4610" max="4610" width="26.7109375" style="264" customWidth="1"/>
    <col min="4611" max="4611" width="73.7109375" style="264" customWidth="1"/>
    <col min="4612" max="4612" width="58.42578125" style="264" customWidth="1"/>
    <col min="4613" max="4613" width="28.85546875" style="264" customWidth="1"/>
    <col min="4614" max="4865" width="9.140625" style="264"/>
    <col min="4866" max="4866" width="26.7109375" style="264" customWidth="1"/>
    <col min="4867" max="4867" width="73.7109375" style="264" customWidth="1"/>
    <col min="4868" max="4868" width="58.42578125" style="264" customWidth="1"/>
    <col min="4869" max="4869" width="28.85546875" style="264" customWidth="1"/>
    <col min="4870" max="5121" width="9.140625" style="264"/>
    <col min="5122" max="5122" width="26.7109375" style="264" customWidth="1"/>
    <col min="5123" max="5123" width="73.7109375" style="264" customWidth="1"/>
    <col min="5124" max="5124" width="58.42578125" style="264" customWidth="1"/>
    <col min="5125" max="5125" width="28.85546875" style="264" customWidth="1"/>
    <col min="5126" max="5377" width="9.140625" style="264"/>
    <col min="5378" max="5378" width="26.7109375" style="264" customWidth="1"/>
    <col min="5379" max="5379" width="73.7109375" style="264" customWidth="1"/>
    <col min="5380" max="5380" width="58.42578125" style="264" customWidth="1"/>
    <col min="5381" max="5381" width="28.85546875" style="264" customWidth="1"/>
    <col min="5382" max="5633" width="9.140625" style="264"/>
    <col min="5634" max="5634" width="26.7109375" style="264" customWidth="1"/>
    <col min="5635" max="5635" width="73.7109375" style="264" customWidth="1"/>
    <col min="5636" max="5636" width="58.42578125" style="264" customWidth="1"/>
    <col min="5637" max="5637" width="28.85546875" style="264" customWidth="1"/>
    <col min="5638" max="5889" width="9.140625" style="264"/>
    <col min="5890" max="5890" width="26.7109375" style="264" customWidth="1"/>
    <col min="5891" max="5891" width="73.7109375" style="264" customWidth="1"/>
    <col min="5892" max="5892" width="58.42578125" style="264" customWidth="1"/>
    <col min="5893" max="5893" width="28.85546875" style="264" customWidth="1"/>
    <col min="5894" max="6145" width="9.140625" style="264"/>
    <col min="6146" max="6146" width="26.7109375" style="264" customWidth="1"/>
    <col min="6147" max="6147" width="73.7109375" style="264" customWidth="1"/>
    <col min="6148" max="6148" width="58.42578125" style="264" customWidth="1"/>
    <col min="6149" max="6149" width="28.85546875" style="264" customWidth="1"/>
    <col min="6150" max="6401" width="9.140625" style="264"/>
    <col min="6402" max="6402" width="26.7109375" style="264" customWidth="1"/>
    <col min="6403" max="6403" width="73.7109375" style="264" customWidth="1"/>
    <col min="6404" max="6404" width="58.42578125" style="264" customWidth="1"/>
    <col min="6405" max="6405" width="28.85546875" style="264" customWidth="1"/>
    <col min="6406" max="6657" width="9.140625" style="264"/>
    <col min="6658" max="6658" width="26.7109375" style="264" customWidth="1"/>
    <col min="6659" max="6659" width="73.7109375" style="264" customWidth="1"/>
    <col min="6660" max="6660" width="58.42578125" style="264" customWidth="1"/>
    <col min="6661" max="6661" width="28.85546875" style="264" customWidth="1"/>
    <col min="6662" max="6913" width="9.140625" style="264"/>
    <col min="6914" max="6914" width="26.7109375" style="264" customWidth="1"/>
    <col min="6915" max="6915" width="73.7109375" style="264" customWidth="1"/>
    <col min="6916" max="6916" width="58.42578125" style="264" customWidth="1"/>
    <col min="6917" max="6917" width="28.85546875" style="264" customWidth="1"/>
    <col min="6918" max="7169" width="9.140625" style="264"/>
    <col min="7170" max="7170" width="26.7109375" style="264" customWidth="1"/>
    <col min="7171" max="7171" width="73.7109375" style="264" customWidth="1"/>
    <col min="7172" max="7172" width="58.42578125" style="264" customWidth="1"/>
    <col min="7173" max="7173" width="28.85546875" style="264" customWidth="1"/>
    <col min="7174" max="7425" width="9.140625" style="264"/>
    <col min="7426" max="7426" width="26.7109375" style="264" customWidth="1"/>
    <col min="7427" max="7427" width="73.7109375" style="264" customWidth="1"/>
    <col min="7428" max="7428" width="58.42578125" style="264" customWidth="1"/>
    <col min="7429" max="7429" width="28.85546875" style="264" customWidth="1"/>
    <col min="7430" max="7681" width="9.140625" style="264"/>
    <col min="7682" max="7682" width="26.7109375" style="264" customWidth="1"/>
    <col min="7683" max="7683" width="73.7109375" style="264" customWidth="1"/>
    <col min="7684" max="7684" width="58.42578125" style="264" customWidth="1"/>
    <col min="7685" max="7685" width="28.85546875" style="264" customWidth="1"/>
    <col min="7686" max="7937" width="9.140625" style="264"/>
    <col min="7938" max="7938" width="26.7109375" style="264" customWidth="1"/>
    <col min="7939" max="7939" width="73.7109375" style="264" customWidth="1"/>
    <col min="7940" max="7940" width="58.42578125" style="264" customWidth="1"/>
    <col min="7941" max="7941" width="28.85546875" style="264" customWidth="1"/>
    <col min="7942" max="8193" width="9.140625" style="264"/>
    <col min="8194" max="8194" width="26.7109375" style="264" customWidth="1"/>
    <col min="8195" max="8195" width="73.7109375" style="264" customWidth="1"/>
    <col min="8196" max="8196" width="58.42578125" style="264" customWidth="1"/>
    <col min="8197" max="8197" width="28.85546875" style="264" customWidth="1"/>
    <col min="8198" max="8449" width="9.140625" style="264"/>
    <col min="8450" max="8450" width="26.7109375" style="264" customWidth="1"/>
    <col min="8451" max="8451" width="73.7109375" style="264" customWidth="1"/>
    <col min="8452" max="8452" width="58.42578125" style="264" customWidth="1"/>
    <col min="8453" max="8453" width="28.85546875" style="264" customWidth="1"/>
    <col min="8454" max="8705" width="9.140625" style="264"/>
    <col min="8706" max="8706" width="26.7109375" style="264" customWidth="1"/>
    <col min="8707" max="8707" width="73.7109375" style="264" customWidth="1"/>
    <col min="8708" max="8708" width="58.42578125" style="264" customWidth="1"/>
    <col min="8709" max="8709" width="28.85546875" style="264" customWidth="1"/>
    <col min="8710" max="8961" width="9.140625" style="264"/>
    <col min="8962" max="8962" width="26.7109375" style="264" customWidth="1"/>
    <col min="8963" max="8963" width="73.7109375" style="264" customWidth="1"/>
    <col min="8964" max="8964" width="58.42578125" style="264" customWidth="1"/>
    <col min="8965" max="8965" width="28.85546875" style="264" customWidth="1"/>
    <col min="8966" max="9217" width="9.140625" style="264"/>
    <col min="9218" max="9218" width="26.7109375" style="264" customWidth="1"/>
    <col min="9219" max="9219" width="73.7109375" style="264" customWidth="1"/>
    <col min="9220" max="9220" width="58.42578125" style="264" customWidth="1"/>
    <col min="9221" max="9221" width="28.85546875" style="264" customWidth="1"/>
    <col min="9222" max="9473" width="9.140625" style="264"/>
    <col min="9474" max="9474" width="26.7109375" style="264" customWidth="1"/>
    <col min="9475" max="9475" width="73.7109375" style="264" customWidth="1"/>
    <col min="9476" max="9476" width="58.42578125" style="264" customWidth="1"/>
    <col min="9477" max="9477" width="28.85546875" style="264" customWidth="1"/>
    <col min="9478" max="9729" width="9.140625" style="264"/>
    <col min="9730" max="9730" width="26.7109375" style="264" customWidth="1"/>
    <col min="9731" max="9731" width="73.7109375" style="264" customWidth="1"/>
    <col min="9732" max="9732" width="58.42578125" style="264" customWidth="1"/>
    <col min="9733" max="9733" width="28.85546875" style="264" customWidth="1"/>
    <col min="9734" max="9985" width="9.140625" style="264"/>
    <col min="9986" max="9986" width="26.7109375" style="264" customWidth="1"/>
    <col min="9987" max="9987" width="73.7109375" style="264" customWidth="1"/>
    <col min="9988" max="9988" width="58.42578125" style="264" customWidth="1"/>
    <col min="9989" max="9989" width="28.85546875" style="264" customWidth="1"/>
    <col min="9990" max="10241" width="9.140625" style="264"/>
    <col min="10242" max="10242" width="26.7109375" style="264" customWidth="1"/>
    <col min="10243" max="10243" width="73.7109375" style="264" customWidth="1"/>
    <col min="10244" max="10244" width="58.42578125" style="264" customWidth="1"/>
    <col min="10245" max="10245" width="28.85546875" style="264" customWidth="1"/>
    <col min="10246" max="10497" width="9.140625" style="264"/>
    <col min="10498" max="10498" width="26.7109375" style="264" customWidth="1"/>
    <col min="10499" max="10499" width="73.7109375" style="264" customWidth="1"/>
    <col min="10500" max="10500" width="58.42578125" style="264" customWidth="1"/>
    <col min="10501" max="10501" width="28.85546875" style="264" customWidth="1"/>
    <col min="10502" max="10753" width="9.140625" style="264"/>
    <col min="10754" max="10754" width="26.7109375" style="264" customWidth="1"/>
    <col min="10755" max="10755" width="73.7109375" style="264" customWidth="1"/>
    <col min="10756" max="10756" width="58.42578125" style="264" customWidth="1"/>
    <col min="10757" max="10757" width="28.85546875" style="264" customWidth="1"/>
    <col min="10758" max="11009" width="9.140625" style="264"/>
    <col min="11010" max="11010" width="26.7109375" style="264" customWidth="1"/>
    <col min="11011" max="11011" width="73.7109375" style="264" customWidth="1"/>
    <col min="11012" max="11012" width="58.42578125" style="264" customWidth="1"/>
    <col min="11013" max="11013" width="28.85546875" style="264" customWidth="1"/>
    <col min="11014" max="11265" width="9.140625" style="264"/>
    <col min="11266" max="11266" width="26.7109375" style="264" customWidth="1"/>
    <col min="11267" max="11267" width="73.7109375" style="264" customWidth="1"/>
    <col min="11268" max="11268" width="58.42578125" style="264" customWidth="1"/>
    <col min="11269" max="11269" width="28.85546875" style="264" customWidth="1"/>
    <col min="11270" max="11521" width="9.140625" style="264"/>
    <col min="11522" max="11522" width="26.7109375" style="264" customWidth="1"/>
    <col min="11523" max="11523" width="73.7109375" style="264" customWidth="1"/>
    <col min="11524" max="11524" width="58.42578125" style="264" customWidth="1"/>
    <col min="11525" max="11525" width="28.85546875" style="264" customWidth="1"/>
    <col min="11526" max="11777" width="9.140625" style="264"/>
    <col min="11778" max="11778" width="26.7109375" style="264" customWidth="1"/>
    <col min="11779" max="11779" width="73.7109375" style="264" customWidth="1"/>
    <col min="11780" max="11780" width="58.42578125" style="264" customWidth="1"/>
    <col min="11781" max="11781" width="28.85546875" style="264" customWidth="1"/>
    <col min="11782" max="12033" width="9.140625" style="264"/>
    <col min="12034" max="12034" width="26.7109375" style="264" customWidth="1"/>
    <col min="12035" max="12035" width="73.7109375" style="264" customWidth="1"/>
    <col min="12036" max="12036" width="58.42578125" style="264" customWidth="1"/>
    <col min="12037" max="12037" width="28.85546875" style="264" customWidth="1"/>
    <col min="12038" max="12289" width="9.140625" style="264"/>
    <col min="12290" max="12290" width="26.7109375" style="264" customWidth="1"/>
    <col min="12291" max="12291" width="73.7109375" style="264" customWidth="1"/>
    <col min="12292" max="12292" width="58.42578125" style="264" customWidth="1"/>
    <col min="12293" max="12293" width="28.85546875" style="264" customWidth="1"/>
    <col min="12294" max="12545" width="9.140625" style="264"/>
    <col min="12546" max="12546" width="26.7109375" style="264" customWidth="1"/>
    <col min="12547" max="12547" width="73.7109375" style="264" customWidth="1"/>
    <col min="12548" max="12548" width="58.42578125" style="264" customWidth="1"/>
    <col min="12549" max="12549" width="28.85546875" style="264" customWidth="1"/>
    <col min="12550" max="12801" width="9.140625" style="264"/>
    <col min="12802" max="12802" width="26.7109375" style="264" customWidth="1"/>
    <col min="12803" max="12803" width="73.7109375" style="264" customWidth="1"/>
    <col min="12804" max="12804" width="58.42578125" style="264" customWidth="1"/>
    <col min="12805" max="12805" width="28.85546875" style="264" customWidth="1"/>
    <col min="12806" max="13057" width="9.140625" style="264"/>
    <col min="13058" max="13058" width="26.7109375" style="264" customWidth="1"/>
    <col min="13059" max="13059" width="73.7109375" style="264" customWidth="1"/>
    <col min="13060" max="13060" width="58.42578125" style="264" customWidth="1"/>
    <col min="13061" max="13061" width="28.85546875" style="264" customWidth="1"/>
    <col min="13062" max="13313" width="9.140625" style="264"/>
    <col min="13314" max="13314" width="26.7109375" style="264" customWidth="1"/>
    <col min="13315" max="13315" width="73.7109375" style="264" customWidth="1"/>
    <col min="13316" max="13316" width="58.42578125" style="264" customWidth="1"/>
    <col min="13317" max="13317" width="28.85546875" style="264" customWidth="1"/>
    <col min="13318" max="13569" width="9.140625" style="264"/>
    <col min="13570" max="13570" width="26.7109375" style="264" customWidth="1"/>
    <col min="13571" max="13571" width="73.7109375" style="264" customWidth="1"/>
    <col min="13572" max="13572" width="58.42578125" style="264" customWidth="1"/>
    <col min="13573" max="13573" width="28.85546875" style="264" customWidth="1"/>
    <col min="13574" max="13825" width="9.140625" style="264"/>
    <col min="13826" max="13826" width="26.7109375" style="264" customWidth="1"/>
    <col min="13827" max="13827" width="73.7109375" style="264" customWidth="1"/>
    <col min="13828" max="13828" width="58.42578125" style="264" customWidth="1"/>
    <col min="13829" max="13829" width="28.85546875" style="264" customWidth="1"/>
    <col min="13830" max="14081" width="9.140625" style="264"/>
    <col min="14082" max="14082" width="26.7109375" style="264" customWidth="1"/>
    <col min="14083" max="14083" width="73.7109375" style="264" customWidth="1"/>
    <col min="14084" max="14084" width="58.42578125" style="264" customWidth="1"/>
    <col min="14085" max="14085" width="28.85546875" style="264" customWidth="1"/>
    <col min="14086" max="14337" width="9.140625" style="264"/>
    <col min="14338" max="14338" width="26.7109375" style="264" customWidth="1"/>
    <col min="14339" max="14339" width="73.7109375" style="264" customWidth="1"/>
    <col min="14340" max="14340" width="58.42578125" style="264" customWidth="1"/>
    <col min="14341" max="14341" width="28.85546875" style="264" customWidth="1"/>
    <col min="14342" max="14593" width="9.140625" style="264"/>
    <col min="14594" max="14594" width="26.7109375" style="264" customWidth="1"/>
    <col min="14595" max="14595" width="73.7109375" style="264" customWidth="1"/>
    <col min="14596" max="14596" width="58.42578125" style="264" customWidth="1"/>
    <col min="14597" max="14597" width="28.85546875" style="264" customWidth="1"/>
    <col min="14598" max="14849" width="9.140625" style="264"/>
    <col min="14850" max="14850" width="26.7109375" style="264" customWidth="1"/>
    <col min="14851" max="14851" width="73.7109375" style="264" customWidth="1"/>
    <col min="14852" max="14852" width="58.42578125" style="264" customWidth="1"/>
    <col min="14853" max="14853" width="28.85546875" style="264" customWidth="1"/>
    <col min="14854" max="15105" width="9.140625" style="264"/>
    <col min="15106" max="15106" width="26.7109375" style="264" customWidth="1"/>
    <col min="15107" max="15107" width="73.7109375" style="264" customWidth="1"/>
    <col min="15108" max="15108" width="58.42578125" style="264" customWidth="1"/>
    <col min="15109" max="15109" width="28.85546875" style="264" customWidth="1"/>
    <col min="15110" max="15361" width="9.140625" style="264"/>
    <col min="15362" max="15362" width="26.7109375" style="264" customWidth="1"/>
    <col min="15363" max="15363" width="73.7109375" style="264" customWidth="1"/>
    <col min="15364" max="15364" width="58.42578125" style="264" customWidth="1"/>
    <col min="15365" max="15365" width="28.85546875" style="264" customWidth="1"/>
    <col min="15366" max="15617" width="9.140625" style="264"/>
    <col min="15618" max="15618" width="26.7109375" style="264" customWidth="1"/>
    <col min="15619" max="15619" width="73.7109375" style="264" customWidth="1"/>
    <col min="15620" max="15620" width="58.42578125" style="264" customWidth="1"/>
    <col min="15621" max="15621" width="28.85546875" style="264" customWidth="1"/>
    <col min="15622" max="15873" width="9.140625" style="264"/>
    <col min="15874" max="15874" width="26.7109375" style="264" customWidth="1"/>
    <col min="15875" max="15875" width="73.7109375" style="264" customWidth="1"/>
    <col min="15876" max="15876" width="58.42578125" style="264" customWidth="1"/>
    <col min="15877" max="15877" width="28.85546875" style="264" customWidth="1"/>
    <col min="15878" max="16129" width="9.140625" style="264"/>
    <col min="16130" max="16130" width="26.7109375" style="264" customWidth="1"/>
    <col min="16131" max="16131" width="73.7109375" style="264" customWidth="1"/>
    <col min="16132" max="16132" width="58.42578125" style="264" customWidth="1"/>
    <col min="16133" max="16133" width="28.85546875" style="264" customWidth="1"/>
    <col min="16134" max="16384" width="9.140625" style="264"/>
  </cols>
  <sheetData>
    <row r="1" spans="3:6" ht="13.5" thickBot="1"/>
    <row r="2" spans="3:6" s="268" customFormat="1" ht="19.5" thickBot="1">
      <c r="C2" s="265" t="s">
        <v>928</v>
      </c>
      <c r="D2" s="266" t="s">
        <v>955</v>
      </c>
      <c r="E2" s="266"/>
      <c r="F2" s="267"/>
    </row>
    <row r="3" spans="3:6" s="268" customFormat="1" ht="15">
      <c r="C3" s="269" t="s">
        <v>929</v>
      </c>
      <c r="D3" s="269" t="s">
        <v>930</v>
      </c>
      <c r="E3" s="269" t="s">
        <v>931</v>
      </c>
      <c r="F3" s="269" t="s">
        <v>932</v>
      </c>
    </row>
    <row r="4" spans="3:6" ht="51">
      <c r="C4" s="270" t="s">
        <v>933</v>
      </c>
      <c r="D4" s="271" t="s">
        <v>956</v>
      </c>
      <c r="E4" s="271" t="s">
        <v>957</v>
      </c>
      <c r="F4" s="271"/>
    </row>
    <row r="5" spans="3:6" ht="25.5">
      <c r="C5" s="270" t="s">
        <v>934</v>
      </c>
      <c r="D5" s="272" t="s">
        <v>935</v>
      </c>
      <c r="E5" s="273" t="s">
        <v>936</v>
      </c>
      <c r="F5" s="273"/>
    </row>
    <row r="6" spans="3:6">
      <c r="C6" s="270" t="s">
        <v>937</v>
      </c>
      <c r="D6" s="272" t="s">
        <v>958</v>
      </c>
      <c r="E6" s="272"/>
      <c r="F6" s="272"/>
    </row>
    <row r="7" spans="3:6">
      <c r="C7" s="270" t="s">
        <v>938</v>
      </c>
      <c r="D7" s="272"/>
      <c r="E7" s="274"/>
      <c r="F7" s="286"/>
    </row>
    <row r="8" spans="3:6" s="268" customFormat="1" ht="39.75" customHeight="1">
      <c r="C8" s="275" t="s">
        <v>939</v>
      </c>
      <c r="D8" s="276" t="s">
        <v>940</v>
      </c>
      <c r="E8" s="277"/>
      <c r="F8" s="277"/>
    </row>
    <row r="9" spans="3:6">
      <c r="C9" s="270" t="s">
        <v>941</v>
      </c>
      <c r="D9" s="272" t="s">
        <v>958</v>
      </c>
      <c r="E9" s="272"/>
      <c r="F9" s="272"/>
    </row>
    <row r="10" spans="3:6" ht="25.5">
      <c r="C10" s="270" t="s">
        <v>942</v>
      </c>
      <c r="D10" s="272" t="s">
        <v>959</v>
      </c>
      <c r="E10" s="272" t="s">
        <v>960</v>
      </c>
      <c r="F10" s="272"/>
    </row>
    <row r="11" spans="3:6">
      <c r="C11" s="270" t="s">
        <v>575</v>
      </c>
      <c r="D11" s="272" t="s">
        <v>961</v>
      </c>
      <c r="E11" s="272"/>
      <c r="F11" s="272"/>
    </row>
    <row r="12" spans="3:6">
      <c r="C12" s="270" t="s">
        <v>943</v>
      </c>
      <c r="D12" s="272" t="s">
        <v>944</v>
      </c>
      <c r="E12" s="272" t="s">
        <v>945</v>
      </c>
      <c r="F12" s="272" t="s">
        <v>946</v>
      </c>
    </row>
    <row r="13" spans="3:6" ht="38.25">
      <c r="C13" s="270" t="s">
        <v>947</v>
      </c>
      <c r="D13" s="272" t="s">
        <v>962</v>
      </c>
      <c r="E13" s="272" t="s">
        <v>963</v>
      </c>
      <c r="F13" s="27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D122"/>
  <sheetViews>
    <sheetView workbookViewId="0">
      <selection activeCell="A23" sqref="A23"/>
    </sheetView>
  </sheetViews>
  <sheetFormatPr defaultRowHeight="12.75"/>
  <cols>
    <col min="1" max="2" width="21.85546875" style="179" customWidth="1"/>
    <col min="3" max="3" width="40.28515625" style="179" bestFit="1" customWidth="1"/>
    <col min="4" max="4" width="12.28515625" style="179" bestFit="1" customWidth="1"/>
    <col min="5" max="5" width="30.5703125" style="179" bestFit="1" customWidth="1"/>
    <col min="6" max="16384" width="9.140625" style="179"/>
  </cols>
  <sheetData>
    <row r="1" spans="1:56" ht="15.75" thickBot="1">
      <c r="A1" s="218" t="s">
        <v>948</v>
      </c>
      <c r="B1" s="218" t="s">
        <v>949</v>
      </c>
      <c r="C1" s="218" t="s">
        <v>950</v>
      </c>
      <c r="D1" s="218" t="s">
        <v>94</v>
      </c>
      <c r="E1" s="218" t="s">
        <v>951</v>
      </c>
      <c r="F1" s="218" t="s">
        <v>952</v>
      </c>
      <c r="G1" s="218" t="s">
        <v>953</v>
      </c>
      <c r="H1" s="218" t="s">
        <v>954</v>
      </c>
      <c r="I1" s="218" t="s">
        <v>807</v>
      </c>
      <c r="J1" s="218" t="s">
        <v>808</v>
      </c>
      <c r="K1" s="212">
        <v>2016</v>
      </c>
      <c r="L1" s="213">
        <v>2017</v>
      </c>
      <c r="M1" s="213">
        <v>2018</v>
      </c>
      <c r="N1" s="213">
        <v>2019</v>
      </c>
      <c r="O1" s="213">
        <v>2020</v>
      </c>
      <c r="P1" s="213">
        <v>2021</v>
      </c>
      <c r="Q1" s="213">
        <v>2022</v>
      </c>
      <c r="R1" s="213">
        <v>2023</v>
      </c>
      <c r="S1" s="213">
        <v>2024</v>
      </c>
      <c r="T1" s="213">
        <v>2025</v>
      </c>
      <c r="U1" s="213">
        <v>2026</v>
      </c>
      <c r="V1" s="213">
        <v>2027</v>
      </c>
      <c r="W1" s="213">
        <v>2028</v>
      </c>
      <c r="X1" s="213">
        <v>2029</v>
      </c>
      <c r="Y1" s="213">
        <v>2030</v>
      </c>
      <c r="Z1" s="213">
        <v>2031</v>
      </c>
      <c r="AA1" s="213">
        <v>2032</v>
      </c>
      <c r="AB1" s="213">
        <v>2033</v>
      </c>
      <c r="AC1" s="213">
        <v>2034</v>
      </c>
      <c r="AD1" s="213">
        <v>2035</v>
      </c>
      <c r="AE1" s="214" t="s">
        <v>795</v>
      </c>
      <c r="AF1" s="278" t="s">
        <v>910</v>
      </c>
      <c r="AG1" s="279"/>
      <c r="AH1" s="279"/>
      <c r="AI1" s="279"/>
      <c r="AJ1" s="279"/>
      <c r="AK1" s="279"/>
      <c r="AL1" s="279"/>
      <c r="AM1" s="279"/>
      <c r="AN1" s="279"/>
      <c r="AO1" s="279"/>
      <c r="AP1" s="279"/>
      <c r="AQ1" s="280"/>
      <c r="AR1" s="281"/>
      <c r="AS1" s="278" t="s">
        <v>911</v>
      </c>
      <c r="AT1" s="279"/>
      <c r="AU1" s="279"/>
      <c r="AV1" s="279"/>
      <c r="AW1" s="279"/>
      <c r="AX1" s="279"/>
      <c r="AY1" s="279"/>
      <c r="AZ1" s="279"/>
      <c r="BA1" s="279"/>
      <c r="BB1" s="279"/>
      <c r="BC1" s="279"/>
      <c r="BD1" s="280"/>
    </row>
    <row r="2" spans="1:56" ht="15">
      <c r="A2" s="218"/>
      <c r="B2" s="218"/>
      <c r="C2" s="218"/>
      <c r="D2" s="218"/>
      <c r="E2" s="218"/>
      <c r="F2" s="218" t="s">
        <v>912</v>
      </c>
      <c r="G2" s="218" t="s">
        <v>738</v>
      </c>
      <c r="H2" s="218" t="s">
        <v>806</v>
      </c>
      <c r="I2" s="218">
        <v>1</v>
      </c>
      <c r="J2" s="218"/>
      <c r="K2" s="215" t="str">
        <f t="shared" ref="K2:AD2" si="0">CONCATENATE("aMW_",K$1)</f>
        <v>aMW_2016</v>
      </c>
      <c r="L2" s="216" t="str">
        <f t="shared" si="0"/>
        <v>aMW_2017</v>
      </c>
      <c r="M2" s="216" t="str">
        <f t="shared" si="0"/>
        <v>aMW_2018</v>
      </c>
      <c r="N2" s="216" t="str">
        <f t="shared" si="0"/>
        <v>aMW_2019</v>
      </c>
      <c r="O2" s="216" t="str">
        <f t="shared" si="0"/>
        <v>aMW_2020</v>
      </c>
      <c r="P2" s="216" t="str">
        <f t="shared" si="0"/>
        <v>aMW_2021</v>
      </c>
      <c r="Q2" s="216" t="str">
        <f t="shared" si="0"/>
        <v>aMW_2022</v>
      </c>
      <c r="R2" s="216" t="str">
        <f t="shared" si="0"/>
        <v>aMW_2023</v>
      </c>
      <c r="S2" s="216" t="str">
        <f t="shared" si="0"/>
        <v>aMW_2024</v>
      </c>
      <c r="T2" s="216" t="str">
        <f t="shared" si="0"/>
        <v>aMW_2025</v>
      </c>
      <c r="U2" s="216" t="str">
        <f t="shared" si="0"/>
        <v>aMW_2026</v>
      </c>
      <c r="V2" s="216" t="str">
        <f t="shared" si="0"/>
        <v>aMW_2027</v>
      </c>
      <c r="W2" s="216" t="str">
        <f t="shared" si="0"/>
        <v>aMW_2028</v>
      </c>
      <c r="X2" s="216" t="str">
        <f t="shared" si="0"/>
        <v>aMW_2029</v>
      </c>
      <c r="Y2" s="216" t="str">
        <f t="shared" si="0"/>
        <v>aMW_2030</v>
      </c>
      <c r="Z2" s="216" t="str">
        <f t="shared" si="0"/>
        <v>aMW_2031</v>
      </c>
      <c r="AA2" s="216" t="str">
        <f t="shared" si="0"/>
        <v>aMW_2032</v>
      </c>
      <c r="AB2" s="216" t="str">
        <f t="shared" si="0"/>
        <v>aMW_2033</v>
      </c>
      <c r="AC2" s="216" t="str">
        <f t="shared" si="0"/>
        <v>aMW_2034</v>
      </c>
      <c r="AD2" s="216" t="str">
        <f t="shared" si="0"/>
        <v>aMW_2035</v>
      </c>
      <c r="AE2" s="217" t="s">
        <v>795</v>
      </c>
      <c r="AF2" s="282" t="s">
        <v>700</v>
      </c>
      <c r="AG2" s="282" t="s">
        <v>701</v>
      </c>
      <c r="AH2" s="282" t="s">
        <v>702</v>
      </c>
      <c r="AI2" s="282" t="s">
        <v>703</v>
      </c>
      <c r="AJ2" s="282" t="s">
        <v>704</v>
      </c>
      <c r="AK2" s="282" t="s">
        <v>705</v>
      </c>
      <c r="AL2" s="282" t="s">
        <v>706</v>
      </c>
      <c r="AM2" s="282" t="s">
        <v>707</v>
      </c>
      <c r="AN2" s="282" t="s">
        <v>708</v>
      </c>
      <c r="AO2" s="282" t="s">
        <v>709</v>
      </c>
      <c r="AP2" s="282" t="s">
        <v>710</v>
      </c>
      <c r="AQ2" s="282" t="s">
        <v>711</v>
      </c>
      <c r="AR2" s="282"/>
      <c r="AS2" s="282" t="s">
        <v>700</v>
      </c>
      <c r="AT2" s="282" t="s">
        <v>701</v>
      </c>
      <c r="AU2" s="282" t="s">
        <v>702</v>
      </c>
      <c r="AV2" s="282" t="s">
        <v>703</v>
      </c>
      <c r="AW2" s="282" t="s">
        <v>704</v>
      </c>
      <c r="AX2" s="282" t="s">
        <v>705</v>
      </c>
      <c r="AY2" s="282" t="s">
        <v>706</v>
      </c>
      <c r="AZ2" s="282" t="s">
        <v>707</v>
      </c>
      <c r="BA2" s="282" t="s">
        <v>708</v>
      </c>
      <c r="BB2" s="282" t="s">
        <v>709</v>
      </c>
      <c r="BC2" s="282" t="s">
        <v>710</v>
      </c>
      <c r="BD2" s="282" t="s">
        <v>711</v>
      </c>
    </row>
    <row r="3" spans="1:56" ht="15">
      <c r="A3" s="211" t="str">
        <f>VLOOKUP($C3,[2]ACHIEV!$B$12:$C$102,2,FALSE)</f>
        <v>LightingPPA</v>
      </c>
      <c r="B3" s="211" t="str">
        <f>'SC-NR'!$C$7</f>
        <v>PPA</v>
      </c>
      <c r="C3" s="211" t="str">
        <f>'SC-NR'!$C$8&amp;" PPA"</f>
        <v>Lighting PPA</v>
      </c>
      <c r="D3" s="211" t="s">
        <v>70</v>
      </c>
      <c r="E3" s="211" t="str">
        <f>'SC-NR'!$A$9</f>
        <v>Lighting</v>
      </c>
      <c r="F3" s="283">
        <f>VLOOKUP($J3,MeasureOutput,14,FALSE)</f>
        <v>2.8595977668409698E-3</v>
      </c>
      <c r="G3" s="233">
        <f>'SC-NR'!A81</f>
        <v>10.945904277975469</v>
      </c>
      <c r="H3" s="233">
        <f>'SC-NR'!B81</f>
        <v>-72.33729952335888</v>
      </c>
      <c r="I3" s="182" t="str">
        <f>'SC-NR'!C81</f>
        <v>Single Family</v>
      </c>
      <c r="J3" s="182" t="str">
        <f>'SC-NR'!D81</f>
        <v>all45lm/WGeneral Purpose and Dimmable250 to 664 lumensANY</v>
      </c>
      <c r="K3" s="193">
        <f>'SC-NR'!E81</f>
        <v>3.2003593138724336</v>
      </c>
      <c r="L3" s="193">
        <f>'SC-NR'!F81</f>
        <v>2.5482195715519844</v>
      </c>
      <c r="M3" s="193">
        <f>'SC-NR'!G81</f>
        <v>1.9013894428248845</v>
      </c>
      <c r="N3" s="193">
        <f>'SC-NR'!H81</f>
        <v>1.2626314670761687</v>
      </c>
      <c r="O3" s="193">
        <f>'SC-NR'!I81</f>
        <v>0</v>
      </c>
      <c r="P3" s="193">
        <f>'SC-NR'!J81</f>
        <v>0</v>
      </c>
      <c r="Q3" s="193">
        <f>'SC-NR'!K81</f>
        <v>0</v>
      </c>
      <c r="R3" s="193">
        <f>'SC-NR'!L81</f>
        <v>0</v>
      </c>
      <c r="S3" s="193">
        <f>'SC-NR'!M81</f>
        <v>0</v>
      </c>
      <c r="T3" s="193">
        <f>'SC-NR'!N81</f>
        <v>0</v>
      </c>
      <c r="U3" s="193">
        <f>'SC-NR'!O81</f>
        <v>0</v>
      </c>
      <c r="V3" s="193">
        <f>'SC-NR'!P81</f>
        <v>0</v>
      </c>
      <c r="W3" s="193">
        <f>'SC-NR'!Q81</f>
        <v>0</v>
      </c>
      <c r="X3" s="193">
        <f>'SC-NR'!R81</f>
        <v>0</v>
      </c>
      <c r="Y3" s="193">
        <f>'SC-NR'!S81</f>
        <v>0</v>
      </c>
      <c r="Z3" s="193">
        <f>'SC-NR'!T81</f>
        <v>0</v>
      </c>
      <c r="AA3" s="193">
        <f>'SC-NR'!U81</f>
        <v>0</v>
      </c>
      <c r="AB3" s="193">
        <f>'SC-NR'!V81</f>
        <v>0</v>
      </c>
      <c r="AC3" s="193">
        <f>'SC-NR'!W81</f>
        <v>0</v>
      </c>
      <c r="AD3" s="193">
        <f>'SC-NR'!X81</f>
        <v>0</v>
      </c>
      <c r="AE3" s="193">
        <f>'SC-NR'!Y81</f>
        <v>19.218784119620018</v>
      </c>
      <c r="AF3" s="284">
        <f t="shared" ref="AF3:AF14" si="1">VLOOKUP($J3,MeasureOutput,15,FALSE)</f>
        <v>0.78316602900259658</v>
      </c>
      <c r="AG3" s="284">
        <f t="shared" ref="AG3:AG14" si="2">VLOOKUP($J3,MeasureOutput,16,FALSE)</f>
        <v>0.62289472856149797</v>
      </c>
      <c r="AH3" s="284">
        <f t="shared" ref="AH3:AH14" si="3">VLOOKUP($J3,MeasureOutput,17,FALSE)</f>
        <v>0.6293221392943501</v>
      </c>
      <c r="AI3" s="284">
        <f t="shared" ref="AI3:AI14" si="4">VLOOKUP($J3,MeasureOutput,18,FALSE)</f>
        <v>0.5132584448867098</v>
      </c>
      <c r="AJ3" s="284">
        <f t="shared" ref="AJ3:AJ14" si="5">VLOOKUP($J3,MeasureOutput,19,FALSE)</f>
        <v>0.46736815951193028</v>
      </c>
      <c r="AK3" s="284">
        <f t="shared" ref="AK3:AK14" si="6">VLOOKUP($J3,MeasureOutput,20,FALSE)</f>
        <v>0.48023095456652459</v>
      </c>
      <c r="AL3" s="284">
        <f t="shared" ref="AL3:AL14" si="7">VLOOKUP($J3,MeasureOutput,21,FALSE)</f>
        <v>0.39632999704473071</v>
      </c>
      <c r="AM3" s="284">
        <f t="shared" ref="AM3:AM14" si="8">VLOOKUP($J3,MeasureOutput,22,FALSE)</f>
        <v>0.45207438594396671</v>
      </c>
      <c r="AN3" s="284">
        <f t="shared" ref="AN3:AN14" si="9">VLOOKUP($J3,MeasureOutput,23,FALSE)</f>
        <v>0.49780218458920139</v>
      </c>
      <c r="AO3" s="284">
        <f t="shared" ref="AO3:AO14" si="10">VLOOKUP($J3,MeasureOutput,24,FALSE)</f>
        <v>0.72649910032878062</v>
      </c>
      <c r="AP3" s="284">
        <f t="shared" ref="AP3:AP14" si="11">VLOOKUP($J3,MeasureOutput,25,FALSE)</f>
        <v>0.73337653013557191</v>
      </c>
      <c r="AQ3" s="284">
        <f t="shared" ref="AQ3:AQ14" si="12">VLOOKUP($J3,MeasureOutput,26,FALSE)</f>
        <v>0.80510228411086204</v>
      </c>
      <c r="AR3" s="284"/>
      <c r="AS3" s="284">
        <f t="shared" ref="AS3:AS14" si="13">VLOOKUP($J3,MeasureOutput,28,FALSE)</f>
        <v>0.40856408957431911</v>
      </c>
      <c r="AT3" s="284">
        <f t="shared" ref="AT3:AT14" si="14">VLOOKUP($J3,MeasureOutput,29,FALSE)</f>
        <v>0.31400087899487644</v>
      </c>
      <c r="AU3" s="284">
        <f t="shared" ref="AU3:AU14" si="15">VLOOKUP($J3,MeasureOutput,30,FALSE)</f>
        <v>0.29265989259466058</v>
      </c>
      <c r="AV3" s="284">
        <f t="shared" ref="AV3:AV14" si="16">VLOOKUP($J3,MeasureOutput,31,FALSE)</f>
        <v>0.28708496863088351</v>
      </c>
      <c r="AW3" s="284">
        <f t="shared" ref="AW3:AW14" si="17">VLOOKUP($J3,MeasureOutput,32,FALSE)</f>
        <v>0.2789265250631528</v>
      </c>
      <c r="AX3" s="284">
        <f t="shared" ref="AX3:AX14" si="18">VLOOKUP($J3,MeasureOutput,33,FALSE)</f>
        <v>0.26084535049161656</v>
      </c>
      <c r="AY3" s="284">
        <f t="shared" ref="AY3:AY14" si="19">VLOOKUP($J3,MeasureOutput,34,FALSE)</f>
        <v>0.29757378163092152</v>
      </c>
      <c r="AZ3" s="284">
        <f t="shared" ref="AZ3:AZ14" si="20">VLOOKUP($J3,MeasureOutput,35,FALSE)</f>
        <v>0.26919930608206899</v>
      </c>
      <c r="BA3" s="284">
        <f t="shared" ref="BA3:BA14" si="21">VLOOKUP($J3,MeasureOutput,36,FALSE)</f>
        <v>0.31201880306670299</v>
      </c>
      <c r="BB3" s="284">
        <f t="shared" ref="BB3:BB14" si="22">VLOOKUP($J3,MeasureOutput,37,FALSE)</f>
        <v>0.31018933426565282</v>
      </c>
      <c r="BC3" s="284">
        <f t="shared" ref="BC3:BC14" si="23">VLOOKUP($J3,MeasureOutput,38,FALSE)</f>
        <v>0.39066305002352214</v>
      </c>
      <c r="BD3" s="284">
        <f t="shared" ref="BD3:BD14" si="24">VLOOKUP($J3,MeasureOutput,39,FALSE)</f>
        <v>0.41675335958036747</v>
      </c>
    </row>
    <row r="4" spans="1:56" ht="15">
      <c r="A4" s="211" t="str">
        <f>VLOOKUP($C4,[2]ACHIEV!$B$12:$C$102,2,FALSE)</f>
        <v>LightingPPA</v>
      </c>
      <c r="B4" s="211" t="str">
        <f>'SC-NR'!$C$7</f>
        <v>PPA</v>
      </c>
      <c r="C4" s="211" t="str">
        <f>'SC-NR'!$C$8&amp;" PPA"</f>
        <v>Lighting PPA</v>
      </c>
      <c r="D4" s="211" t="s">
        <v>70</v>
      </c>
      <c r="E4" s="211" t="str">
        <f>'SC-NR'!$A$9</f>
        <v>Lighting</v>
      </c>
      <c r="F4" s="283">
        <f t="shared" ref="F4:F14" si="25">VLOOKUP($J4,MeasureOutput,14,FALSE)</f>
        <v>1.1226453334995136E-3</v>
      </c>
      <c r="G4" s="233">
        <f>'SC-NR'!A82</f>
        <v>4.2972366607268073</v>
      </c>
      <c r="H4" s="233">
        <f>'SC-NR'!B82</f>
        <v>-53.268788547414012</v>
      </c>
      <c r="I4" s="182" t="str">
        <f>'SC-NR'!C82</f>
        <v>Single Family</v>
      </c>
      <c r="J4" s="182" t="str">
        <f>'SC-NR'!D82</f>
        <v>all45lm/WGeneral Purpose and Dimmable665 to 1439 lumensANY</v>
      </c>
      <c r="K4" s="193">
        <f>'SC-NR'!E82</f>
        <v>9.6951527228553207</v>
      </c>
      <c r="L4" s="193">
        <f>'SC-NR'!F82</f>
        <v>7.7195638035005336</v>
      </c>
      <c r="M4" s="193">
        <f>'SC-NR'!G82</f>
        <v>5.7600598013810496</v>
      </c>
      <c r="N4" s="193">
        <f>'SC-NR'!H82</f>
        <v>3.8250095396864152</v>
      </c>
      <c r="O4" s="193">
        <f>'SC-NR'!I82</f>
        <v>0</v>
      </c>
      <c r="P4" s="193">
        <f>'SC-NR'!J82</f>
        <v>0</v>
      </c>
      <c r="Q4" s="193">
        <f>'SC-NR'!K82</f>
        <v>0</v>
      </c>
      <c r="R4" s="193">
        <f>'SC-NR'!L82</f>
        <v>0</v>
      </c>
      <c r="S4" s="193">
        <f>'SC-NR'!M82</f>
        <v>0</v>
      </c>
      <c r="T4" s="193">
        <f>'SC-NR'!N82</f>
        <v>0</v>
      </c>
      <c r="U4" s="193">
        <f>'SC-NR'!O82</f>
        <v>0</v>
      </c>
      <c r="V4" s="193">
        <f>'SC-NR'!P82</f>
        <v>0</v>
      </c>
      <c r="W4" s="193">
        <f>'SC-NR'!Q82</f>
        <v>0</v>
      </c>
      <c r="X4" s="193">
        <f>'SC-NR'!R82</f>
        <v>0</v>
      </c>
      <c r="Y4" s="193">
        <f>'SC-NR'!S82</f>
        <v>0</v>
      </c>
      <c r="Z4" s="193">
        <f>'SC-NR'!T82</f>
        <v>0</v>
      </c>
      <c r="AA4" s="193">
        <f>'SC-NR'!U82</f>
        <v>0</v>
      </c>
      <c r="AB4" s="193">
        <f>'SC-NR'!V82</f>
        <v>0</v>
      </c>
      <c r="AC4" s="193">
        <f>'SC-NR'!W82</f>
        <v>0</v>
      </c>
      <c r="AD4" s="193">
        <f>'SC-NR'!X82</f>
        <v>0</v>
      </c>
      <c r="AE4" s="193">
        <f>'SC-NR'!Y82</f>
        <v>58.221289834435687</v>
      </c>
      <c r="AF4" s="284">
        <f t="shared" si="1"/>
        <v>0.30746201371754167</v>
      </c>
      <c r="AG4" s="284">
        <f t="shared" si="2"/>
        <v>0.24454133668369918</v>
      </c>
      <c r="AH4" s="284">
        <f t="shared" si="3"/>
        <v>0.24706466452700365</v>
      </c>
      <c r="AI4" s="284">
        <f t="shared" si="4"/>
        <v>0.20149938733090586</v>
      </c>
      <c r="AJ4" s="284">
        <f t="shared" si="5"/>
        <v>0.18348338685477239</v>
      </c>
      <c r="AK4" s="284">
        <f t="shared" si="6"/>
        <v>0.18853317288106144</v>
      </c>
      <c r="AL4" s="284">
        <f t="shared" si="7"/>
        <v>0.15559461784014159</v>
      </c>
      <c r="AM4" s="284">
        <f t="shared" si="8"/>
        <v>0.17747922650510201</v>
      </c>
      <c r="AN4" s="284">
        <f t="shared" si="9"/>
        <v>0.1954314365521079</v>
      </c>
      <c r="AO4" s="284">
        <f t="shared" si="10"/>
        <v>0.2852152265025385</v>
      </c>
      <c r="AP4" s="284">
        <f t="shared" si="11"/>
        <v>0.2879152266803936</v>
      </c>
      <c r="AQ4" s="284">
        <f t="shared" si="12"/>
        <v>0.31607393624640645</v>
      </c>
      <c r="AR4" s="284"/>
      <c r="AS4" s="284">
        <f t="shared" si="13"/>
        <v>0.16039758245537711</v>
      </c>
      <c r="AT4" s="284">
        <f t="shared" si="14"/>
        <v>0.12327314897429335</v>
      </c>
      <c r="AU4" s="284">
        <f t="shared" si="15"/>
        <v>0.11489492212284845</v>
      </c>
      <c r="AV4" s="284">
        <f t="shared" si="16"/>
        <v>0.11270627082191288</v>
      </c>
      <c r="AW4" s="284">
        <f t="shared" si="17"/>
        <v>0.10950335931242107</v>
      </c>
      <c r="AX4" s="284">
        <f t="shared" si="18"/>
        <v>0.10240489725167137</v>
      </c>
      <c r="AY4" s="284">
        <f t="shared" si="19"/>
        <v>0.11682405868179428</v>
      </c>
      <c r="AZ4" s="284">
        <f t="shared" si="20"/>
        <v>0.10568456454216731</v>
      </c>
      <c r="BA4" s="284">
        <f t="shared" si="21"/>
        <v>0.1224950086647687</v>
      </c>
      <c r="BB4" s="284">
        <f t="shared" si="22"/>
        <v>0.12177678016560786</v>
      </c>
      <c r="BC4" s="284">
        <f t="shared" si="23"/>
        <v>0.15336983934075951</v>
      </c>
      <c r="BD4" s="284">
        <f t="shared" si="24"/>
        <v>0.16361259607151027</v>
      </c>
    </row>
    <row r="5" spans="1:56" ht="15">
      <c r="A5" s="211" t="str">
        <f>VLOOKUP($C5,[2]ACHIEV!$B$12:$C$102,2,FALSE)</f>
        <v>LightingPPA</v>
      </c>
      <c r="B5" s="211" t="str">
        <f>'SC-NR'!$C$7</f>
        <v>PPA</v>
      </c>
      <c r="C5" s="211" t="str">
        <f>'SC-NR'!$C$8&amp;" PPA"</f>
        <v>Lighting PPA</v>
      </c>
      <c r="D5" s="211" t="s">
        <v>70</v>
      </c>
      <c r="E5" s="211" t="str">
        <f>'SC-NR'!$A$9</f>
        <v>Lighting</v>
      </c>
      <c r="F5" s="283">
        <f t="shared" si="25"/>
        <v>-3.1674633488346478E-4</v>
      </c>
      <c r="G5" s="233">
        <f>'SC-NR'!A83</f>
        <v>-1.2124345256655047</v>
      </c>
      <c r="H5" s="233">
        <f>'SC-NR'!B83</f>
        <v>9999</v>
      </c>
      <c r="I5" s="182" t="str">
        <f>'SC-NR'!C83</f>
        <v>Single Family</v>
      </c>
      <c r="J5" s="182" t="str">
        <f>'SC-NR'!D83</f>
        <v>all45lm/WGeneral Purpose and Dimmable1440 to 2600 lumensANY</v>
      </c>
      <c r="K5" s="193">
        <f>'SC-NR'!E83</f>
        <v>-0.27272466738693113</v>
      </c>
      <c r="L5" s="193">
        <f>'SC-NR'!F83</f>
        <v>-0.21715134674658729</v>
      </c>
      <c r="M5" s="193">
        <f>'SC-NR'!G83</f>
        <v>-0.1620304948633991</v>
      </c>
      <c r="N5" s="193">
        <f>'SC-NR'!H83</f>
        <v>-0.10759752675206857</v>
      </c>
      <c r="O5" s="193">
        <f>'SC-NR'!I83</f>
        <v>0</v>
      </c>
      <c r="P5" s="193">
        <f>'SC-NR'!J83</f>
        <v>0</v>
      </c>
      <c r="Q5" s="193">
        <f>'SC-NR'!K83</f>
        <v>0</v>
      </c>
      <c r="R5" s="193">
        <f>'SC-NR'!L83</f>
        <v>0</v>
      </c>
      <c r="S5" s="193">
        <f>'SC-NR'!M83</f>
        <v>0</v>
      </c>
      <c r="T5" s="193">
        <f>'SC-NR'!N83</f>
        <v>0</v>
      </c>
      <c r="U5" s="193">
        <f>'SC-NR'!O83</f>
        <v>0</v>
      </c>
      <c r="V5" s="193">
        <f>'SC-NR'!P83</f>
        <v>0</v>
      </c>
      <c r="W5" s="193">
        <f>'SC-NR'!Q83</f>
        <v>0</v>
      </c>
      <c r="X5" s="193">
        <f>'SC-NR'!R83</f>
        <v>0</v>
      </c>
      <c r="Y5" s="193">
        <f>'SC-NR'!S83</f>
        <v>0</v>
      </c>
      <c r="Z5" s="193">
        <f>'SC-NR'!T83</f>
        <v>0</v>
      </c>
      <c r="AA5" s="193">
        <f>'SC-NR'!U83</f>
        <v>0</v>
      </c>
      <c r="AB5" s="193">
        <f>'SC-NR'!V83</f>
        <v>0</v>
      </c>
      <c r="AC5" s="193">
        <f>'SC-NR'!W83</f>
        <v>0</v>
      </c>
      <c r="AD5" s="193">
        <f>'SC-NR'!X83</f>
        <v>0</v>
      </c>
      <c r="AE5" s="193">
        <f>'SC-NR'!Y83</f>
        <v>-1.6377650109113739</v>
      </c>
      <c r="AF5" s="284">
        <f t="shared" si="1"/>
        <v>-8.6748203599924453E-2</v>
      </c>
      <c r="AG5" s="284">
        <f t="shared" si="2"/>
        <v>-6.8995585525318218E-2</v>
      </c>
      <c r="AH5" s="284">
        <f t="shared" si="3"/>
        <v>-6.9707524391696127E-2</v>
      </c>
      <c r="AI5" s="284">
        <f t="shared" si="4"/>
        <v>-5.6851607995710554E-2</v>
      </c>
      <c r="AJ5" s="284">
        <f t="shared" si="5"/>
        <v>-5.1768522581472284E-2</v>
      </c>
      <c r="AK5" s="284">
        <f t="shared" si="6"/>
        <v>-5.3193283517133788E-2</v>
      </c>
      <c r="AL5" s="284">
        <f t="shared" si="7"/>
        <v>-4.3899906281915313E-2</v>
      </c>
      <c r="AM5" s="284">
        <f t="shared" si="8"/>
        <v>-5.0074491770439176E-2</v>
      </c>
      <c r="AN5" s="284">
        <f t="shared" si="9"/>
        <v>-5.5139579172283071E-2</v>
      </c>
      <c r="AO5" s="284">
        <f t="shared" si="10"/>
        <v>-8.0471432029228185E-2</v>
      </c>
      <c r="AP5" s="284">
        <f t="shared" si="11"/>
        <v>-8.1233217728594556E-2</v>
      </c>
      <c r="AQ5" s="284">
        <f t="shared" si="12"/>
        <v>-8.9177995820068606E-2</v>
      </c>
      <c r="AR5" s="284"/>
      <c r="AS5" s="284">
        <f t="shared" si="13"/>
        <v>-4.5255028325409272E-2</v>
      </c>
      <c r="AT5" s="284">
        <f t="shared" si="14"/>
        <v>-3.478063548835629E-2</v>
      </c>
      <c r="AU5" s="284">
        <f t="shared" si="15"/>
        <v>-3.2416778828706659E-2</v>
      </c>
      <c r="AV5" s="284">
        <f t="shared" si="16"/>
        <v>-3.1799266550142001E-2</v>
      </c>
      <c r="AW5" s="284">
        <f t="shared" si="17"/>
        <v>-3.0895588022903871E-2</v>
      </c>
      <c r="AX5" s="284">
        <f t="shared" si="18"/>
        <v>-2.8892807826915314E-2</v>
      </c>
      <c r="AY5" s="284">
        <f t="shared" si="19"/>
        <v>-3.2961070882752824E-2</v>
      </c>
      <c r="AZ5" s="284">
        <f t="shared" si="20"/>
        <v>-2.9818142447657514E-2</v>
      </c>
      <c r="BA5" s="284">
        <f t="shared" si="21"/>
        <v>-3.4561088776930773E-2</v>
      </c>
      <c r="BB5" s="284">
        <f t="shared" si="22"/>
        <v>-3.4358445753413368E-2</v>
      </c>
      <c r="BC5" s="284">
        <f t="shared" si="23"/>
        <v>-4.3272200973231451E-2</v>
      </c>
      <c r="BD5" s="284">
        <f t="shared" si="24"/>
        <v>-4.6162121375300839E-2</v>
      </c>
    </row>
    <row r="6" spans="1:56" ht="15">
      <c r="A6" s="211" t="str">
        <f>VLOOKUP($C6,[2]ACHIEV!$B$12:$C$102,2,FALSE)</f>
        <v>LightingPPA</v>
      </c>
      <c r="B6" s="211" t="str">
        <f>'SC-NR'!$C$7</f>
        <v>PPA</v>
      </c>
      <c r="C6" s="211" t="str">
        <f>'SC-NR'!$C$8&amp;" PPA"</f>
        <v>Lighting PPA</v>
      </c>
      <c r="D6" s="211" t="s">
        <v>70</v>
      </c>
      <c r="E6" s="211" t="str">
        <f>'SC-NR'!$A$9</f>
        <v>Lighting</v>
      </c>
      <c r="F6" s="283">
        <f t="shared" si="25"/>
        <v>2.8595977668409698E-3</v>
      </c>
      <c r="G6" s="233">
        <f>'SC-NR'!A84</f>
        <v>10.945904277975469</v>
      </c>
      <c r="H6" s="233">
        <f>'SC-NR'!B84</f>
        <v>-72.33729952335888</v>
      </c>
      <c r="I6" s="182" t="str">
        <f>'SC-NR'!C84</f>
        <v>Multifamily - Low Rise</v>
      </c>
      <c r="J6" s="182" t="str">
        <f>'SC-NR'!D84</f>
        <v>all45lm/WGeneral Purpose and Dimmable250 to 664 lumensANY</v>
      </c>
      <c r="K6" s="193">
        <f>'SC-NR'!E84</f>
        <v>0.26323963680517581</v>
      </c>
      <c r="L6" s="193">
        <f>'SC-NR'!F84</f>
        <v>0.20996149068114264</v>
      </c>
      <c r="M6" s="193">
        <f>'SC-NR'!G84</f>
        <v>0.15703020222795613</v>
      </c>
      <c r="N6" s="193">
        <f>'SC-NR'!H84</f>
        <v>0.10420526083420267</v>
      </c>
      <c r="O6" s="193">
        <f>'SC-NR'!I84</f>
        <v>0</v>
      </c>
      <c r="P6" s="193">
        <f>'SC-NR'!J84</f>
        <v>0</v>
      </c>
      <c r="Q6" s="193">
        <f>'SC-NR'!K84</f>
        <v>0</v>
      </c>
      <c r="R6" s="193">
        <f>'SC-NR'!L84</f>
        <v>0</v>
      </c>
      <c r="S6" s="193">
        <f>'SC-NR'!M84</f>
        <v>0</v>
      </c>
      <c r="T6" s="193">
        <f>'SC-NR'!N84</f>
        <v>0</v>
      </c>
      <c r="U6" s="193">
        <f>'SC-NR'!O84</f>
        <v>0</v>
      </c>
      <c r="V6" s="193">
        <f>'SC-NR'!P84</f>
        <v>0</v>
      </c>
      <c r="W6" s="193">
        <f>'SC-NR'!Q84</f>
        <v>0</v>
      </c>
      <c r="X6" s="193">
        <f>'SC-NR'!R84</f>
        <v>0</v>
      </c>
      <c r="Y6" s="193">
        <f>'SC-NR'!S84</f>
        <v>0</v>
      </c>
      <c r="Z6" s="193">
        <f>'SC-NR'!T84</f>
        <v>0</v>
      </c>
      <c r="AA6" s="193">
        <f>'SC-NR'!U84</f>
        <v>0</v>
      </c>
      <c r="AB6" s="193">
        <f>'SC-NR'!V84</f>
        <v>0</v>
      </c>
      <c r="AC6" s="193">
        <f>'SC-NR'!W84</f>
        <v>0</v>
      </c>
      <c r="AD6" s="193">
        <f>'SC-NR'!X84</f>
        <v>0</v>
      </c>
      <c r="AE6" s="193">
        <f>'SC-NR'!Y84</f>
        <v>1.5580893009549714</v>
      </c>
      <c r="AF6" s="284">
        <f t="shared" si="1"/>
        <v>0.78316602900259658</v>
      </c>
      <c r="AG6" s="284">
        <f t="shared" si="2"/>
        <v>0.62289472856149797</v>
      </c>
      <c r="AH6" s="284">
        <f t="shared" si="3"/>
        <v>0.6293221392943501</v>
      </c>
      <c r="AI6" s="284">
        <f t="shared" si="4"/>
        <v>0.5132584448867098</v>
      </c>
      <c r="AJ6" s="284">
        <f t="shared" si="5"/>
        <v>0.46736815951193028</v>
      </c>
      <c r="AK6" s="284">
        <f t="shared" si="6"/>
        <v>0.48023095456652459</v>
      </c>
      <c r="AL6" s="284">
        <f t="shared" si="7"/>
        <v>0.39632999704473071</v>
      </c>
      <c r="AM6" s="284">
        <f t="shared" si="8"/>
        <v>0.45207438594396671</v>
      </c>
      <c r="AN6" s="284">
        <f t="shared" si="9"/>
        <v>0.49780218458920139</v>
      </c>
      <c r="AO6" s="284">
        <f t="shared" si="10"/>
        <v>0.72649910032878062</v>
      </c>
      <c r="AP6" s="284">
        <f t="shared" si="11"/>
        <v>0.73337653013557191</v>
      </c>
      <c r="AQ6" s="284">
        <f t="shared" si="12"/>
        <v>0.80510228411086204</v>
      </c>
      <c r="AR6" s="284"/>
      <c r="AS6" s="284">
        <f t="shared" si="13"/>
        <v>0.40856408957431911</v>
      </c>
      <c r="AT6" s="284">
        <f t="shared" si="14"/>
        <v>0.31400087899487644</v>
      </c>
      <c r="AU6" s="284">
        <f t="shared" si="15"/>
        <v>0.29265989259466058</v>
      </c>
      <c r="AV6" s="284">
        <f t="shared" si="16"/>
        <v>0.28708496863088351</v>
      </c>
      <c r="AW6" s="284">
        <f t="shared" si="17"/>
        <v>0.2789265250631528</v>
      </c>
      <c r="AX6" s="284">
        <f t="shared" si="18"/>
        <v>0.26084535049161656</v>
      </c>
      <c r="AY6" s="284">
        <f t="shared" si="19"/>
        <v>0.29757378163092152</v>
      </c>
      <c r="AZ6" s="284">
        <f t="shared" si="20"/>
        <v>0.26919930608206899</v>
      </c>
      <c r="BA6" s="284">
        <f t="shared" si="21"/>
        <v>0.31201880306670299</v>
      </c>
      <c r="BB6" s="284">
        <f t="shared" si="22"/>
        <v>0.31018933426565282</v>
      </c>
      <c r="BC6" s="284">
        <f t="shared" si="23"/>
        <v>0.39066305002352214</v>
      </c>
      <c r="BD6" s="284">
        <f t="shared" si="24"/>
        <v>0.41675335958036747</v>
      </c>
    </row>
    <row r="7" spans="1:56" ht="15">
      <c r="A7" s="211" t="str">
        <f>VLOOKUP($C7,[2]ACHIEV!$B$12:$C$102,2,FALSE)</f>
        <v>LightingPPA</v>
      </c>
      <c r="B7" s="211" t="str">
        <f>'SC-NR'!$C$7</f>
        <v>PPA</v>
      </c>
      <c r="C7" s="211" t="str">
        <f>'SC-NR'!$C$8&amp;" PPA"</f>
        <v>Lighting PPA</v>
      </c>
      <c r="D7" s="211" t="s">
        <v>70</v>
      </c>
      <c r="E7" s="211" t="str">
        <f>'SC-NR'!$A$9</f>
        <v>Lighting</v>
      </c>
      <c r="F7" s="283">
        <f t="shared" si="25"/>
        <v>1.1226453334995136E-3</v>
      </c>
      <c r="G7" s="233">
        <f>'SC-NR'!A85</f>
        <v>4.2972366607268073</v>
      </c>
      <c r="H7" s="233">
        <f>'SC-NR'!B85</f>
        <v>-53.268788547414012</v>
      </c>
      <c r="I7" s="179" t="str">
        <f>'SC-NR'!C85</f>
        <v>Multifamily - Low Rise</v>
      </c>
      <c r="J7" s="179" t="str">
        <f>'SC-NR'!D85</f>
        <v>all45lm/WGeneral Purpose and Dimmable665 to 1439 lumensANY</v>
      </c>
      <c r="K7" s="285">
        <f>'SC-NR'!E85</f>
        <v>0.79745685756986073</v>
      </c>
      <c r="L7" s="285">
        <f>'SC-NR'!F85</f>
        <v>0.63605630444318983</v>
      </c>
      <c r="M7" s="285">
        <f>'SC-NR'!G85</f>
        <v>0.47570652023405119</v>
      </c>
      <c r="N7" s="285">
        <f>'SC-NR'!H85</f>
        <v>0.31567890328230791</v>
      </c>
      <c r="O7" s="285">
        <f>'SC-NR'!I85</f>
        <v>0</v>
      </c>
      <c r="P7" s="285">
        <f>'SC-NR'!J85</f>
        <v>0</v>
      </c>
      <c r="Q7" s="285">
        <f>'SC-NR'!K85</f>
        <v>0</v>
      </c>
      <c r="R7" s="285">
        <f>'SC-NR'!L85</f>
        <v>0</v>
      </c>
      <c r="S7" s="285">
        <f>'SC-NR'!M85</f>
        <v>0</v>
      </c>
      <c r="T7" s="285">
        <f>'SC-NR'!N85</f>
        <v>0</v>
      </c>
      <c r="U7" s="285">
        <f>'SC-NR'!O85</f>
        <v>0</v>
      </c>
      <c r="V7" s="285">
        <f>'SC-NR'!P85</f>
        <v>0</v>
      </c>
      <c r="W7" s="285">
        <f>'SC-NR'!Q85</f>
        <v>0</v>
      </c>
      <c r="X7" s="285">
        <f>'SC-NR'!R85</f>
        <v>0</v>
      </c>
      <c r="Y7" s="285">
        <f>'SC-NR'!S85</f>
        <v>0</v>
      </c>
      <c r="Z7" s="285">
        <f>'SC-NR'!T85</f>
        <v>0</v>
      </c>
      <c r="AA7" s="285">
        <f>'SC-NR'!U85</f>
        <v>0</v>
      </c>
      <c r="AB7" s="285">
        <f>'SC-NR'!V85</f>
        <v>0</v>
      </c>
      <c r="AC7" s="285">
        <f>'SC-NR'!W85</f>
        <v>0</v>
      </c>
      <c r="AD7" s="285">
        <f>'SC-NR'!X85</f>
        <v>0</v>
      </c>
      <c r="AE7" s="285">
        <f>'SC-NR'!Y85</f>
        <v>4.7200680445869008</v>
      </c>
      <c r="AF7" s="284">
        <f t="shared" si="1"/>
        <v>0.30746201371754167</v>
      </c>
      <c r="AG7" s="284">
        <f t="shared" si="2"/>
        <v>0.24454133668369918</v>
      </c>
      <c r="AH7" s="284">
        <f t="shared" si="3"/>
        <v>0.24706466452700365</v>
      </c>
      <c r="AI7" s="284">
        <f t="shared" si="4"/>
        <v>0.20149938733090586</v>
      </c>
      <c r="AJ7" s="284">
        <f t="shared" si="5"/>
        <v>0.18348338685477239</v>
      </c>
      <c r="AK7" s="284">
        <f t="shared" si="6"/>
        <v>0.18853317288106144</v>
      </c>
      <c r="AL7" s="284">
        <f t="shared" si="7"/>
        <v>0.15559461784014159</v>
      </c>
      <c r="AM7" s="284">
        <f t="shared" si="8"/>
        <v>0.17747922650510201</v>
      </c>
      <c r="AN7" s="284">
        <f t="shared" si="9"/>
        <v>0.1954314365521079</v>
      </c>
      <c r="AO7" s="284">
        <f t="shared" si="10"/>
        <v>0.2852152265025385</v>
      </c>
      <c r="AP7" s="284">
        <f t="shared" si="11"/>
        <v>0.2879152266803936</v>
      </c>
      <c r="AQ7" s="284">
        <f t="shared" si="12"/>
        <v>0.31607393624640645</v>
      </c>
      <c r="AR7" s="284"/>
      <c r="AS7" s="284">
        <f t="shared" si="13"/>
        <v>0.16039758245537711</v>
      </c>
      <c r="AT7" s="284">
        <f t="shared" si="14"/>
        <v>0.12327314897429335</v>
      </c>
      <c r="AU7" s="284">
        <f t="shared" si="15"/>
        <v>0.11489492212284845</v>
      </c>
      <c r="AV7" s="284">
        <f t="shared" si="16"/>
        <v>0.11270627082191288</v>
      </c>
      <c r="AW7" s="284">
        <f t="shared" si="17"/>
        <v>0.10950335931242107</v>
      </c>
      <c r="AX7" s="284">
        <f t="shared" si="18"/>
        <v>0.10240489725167137</v>
      </c>
      <c r="AY7" s="284">
        <f t="shared" si="19"/>
        <v>0.11682405868179428</v>
      </c>
      <c r="AZ7" s="284">
        <f t="shared" si="20"/>
        <v>0.10568456454216731</v>
      </c>
      <c r="BA7" s="284">
        <f t="shared" si="21"/>
        <v>0.1224950086647687</v>
      </c>
      <c r="BB7" s="284">
        <f t="shared" si="22"/>
        <v>0.12177678016560786</v>
      </c>
      <c r="BC7" s="284">
        <f t="shared" si="23"/>
        <v>0.15336983934075951</v>
      </c>
      <c r="BD7" s="284">
        <f t="shared" si="24"/>
        <v>0.16361259607151027</v>
      </c>
    </row>
    <row r="8" spans="1:56" ht="15">
      <c r="A8" s="211" t="str">
        <f>VLOOKUP($C8,[2]ACHIEV!$B$12:$C$102,2,FALSE)</f>
        <v>LightingPPA</v>
      </c>
      <c r="B8" s="211" t="str">
        <f>'SC-NR'!$C$7</f>
        <v>PPA</v>
      </c>
      <c r="C8" s="211" t="str">
        <f>'SC-NR'!$C$8&amp;" PPA"</f>
        <v>Lighting PPA</v>
      </c>
      <c r="D8" s="211" t="s">
        <v>70</v>
      </c>
      <c r="E8" s="211" t="str">
        <f>'SC-NR'!$A$9</f>
        <v>Lighting</v>
      </c>
      <c r="F8" s="283">
        <f t="shared" si="25"/>
        <v>-3.1674633488346478E-4</v>
      </c>
      <c r="G8" s="233">
        <f>'SC-NR'!A86</f>
        <v>-1.2124345256655047</v>
      </c>
      <c r="H8" s="233">
        <f>'SC-NR'!B86</f>
        <v>9999</v>
      </c>
      <c r="I8" s="179" t="str">
        <f>'SC-NR'!C86</f>
        <v>Multifamily - Low Rise</v>
      </c>
      <c r="J8" s="179" t="str">
        <f>'SC-NR'!D86</f>
        <v>all45lm/WGeneral Purpose and Dimmable1440 to 2600 lumensANY</v>
      </c>
      <c r="K8" s="285">
        <f>'SC-NR'!E86</f>
        <v>-2.2432463154857415E-2</v>
      </c>
      <c r="L8" s="285">
        <f>'SC-NR'!F86</f>
        <v>-1.7892265240927668E-2</v>
      </c>
      <c r="M8" s="285">
        <f>'SC-NR'!G86</f>
        <v>-1.3381625458955859E-2</v>
      </c>
      <c r="N8" s="285">
        <f>'SC-NR'!H86</f>
        <v>-8.880048242642144E-3</v>
      </c>
      <c r="O8" s="285">
        <f>'SC-NR'!I86</f>
        <v>0</v>
      </c>
      <c r="P8" s="285">
        <f>'SC-NR'!J86</f>
        <v>0</v>
      </c>
      <c r="Q8" s="285">
        <f>'SC-NR'!K86</f>
        <v>0</v>
      </c>
      <c r="R8" s="285">
        <f>'SC-NR'!L86</f>
        <v>0</v>
      </c>
      <c r="S8" s="285">
        <f>'SC-NR'!M86</f>
        <v>0</v>
      </c>
      <c r="T8" s="285">
        <f>'SC-NR'!N86</f>
        <v>0</v>
      </c>
      <c r="U8" s="285">
        <f>'SC-NR'!O86</f>
        <v>0</v>
      </c>
      <c r="V8" s="285">
        <f>'SC-NR'!P86</f>
        <v>0</v>
      </c>
      <c r="W8" s="285">
        <f>'SC-NR'!Q86</f>
        <v>0</v>
      </c>
      <c r="X8" s="285">
        <f>'SC-NR'!R86</f>
        <v>0</v>
      </c>
      <c r="Y8" s="285">
        <f>'SC-NR'!S86</f>
        <v>0</v>
      </c>
      <c r="Z8" s="285">
        <f>'SC-NR'!T86</f>
        <v>0</v>
      </c>
      <c r="AA8" s="285">
        <f>'SC-NR'!U86</f>
        <v>0</v>
      </c>
      <c r="AB8" s="285">
        <f>'SC-NR'!V86</f>
        <v>0</v>
      </c>
      <c r="AC8" s="285">
        <f>'SC-NR'!W86</f>
        <v>0</v>
      </c>
      <c r="AD8" s="285">
        <f>'SC-NR'!X86</f>
        <v>0</v>
      </c>
      <c r="AE8" s="285">
        <f>'SC-NR'!Y86</f>
        <v>-0.13277552446069441</v>
      </c>
      <c r="AF8" s="284">
        <f t="shared" si="1"/>
        <v>-8.6748203599924453E-2</v>
      </c>
      <c r="AG8" s="284">
        <f t="shared" si="2"/>
        <v>-6.8995585525318218E-2</v>
      </c>
      <c r="AH8" s="284">
        <f t="shared" si="3"/>
        <v>-6.9707524391696127E-2</v>
      </c>
      <c r="AI8" s="284">
        <f t="shared" si="4"/>
        <v>-5.6851607995710554E-2</v>
      </c>
      <c r="AJ8" s="284">
        <f t="shared" si="5"/>
        <v>-5.1768522581472284E-2</v>
      </c>
      <c r="AK8" s="284">
        <f t="shared" si="6"/>
        <v>-5.3193283517133788E-2</v>
      </c>
      <c r="AL8" s="284">
        <f t="shared" si="7"/>
        <v>-4.3899906281915313E-2</v>
      </c>
      <c r="AM8" s="284">
        <f t="shared" si="8"/>
        <v>-5.0074491770439176E-2</v>
      </c>
      <c r="AN8" s="284">
        <f t="shared" si="9"/>
        <v>-5.5139579172283071E-2</v>
      </c>
      <c r="AO8" s="284">
        <f t="shared" si="10"/>
        <v>-8.0471432029228185E-2</v>
      </c>
      <c r="AP8" s="284">
        <f t="shared" si="11"/>
        <v>-8.1233217728594556E-2</v>
      </c>
      <c r="AQ8" s="284">
        <f t="shared" si="12"/>
        <v>-8.9177995820068606E-2</v>
      </c>
      <c r="AR8" s="284"/>
      <c r="AS8" s="284">
        <f t="shared" si="13"/>
        <v>-4.5255028325409272E-2</v>
      </c>
      <c r="AT8" s="284">
        <f t="shared" si="14"/>
        <v>-3.478063548835629E-2</v>
      </c>
      <c r="AU8" s="284">
        <f t="shared" si="15"/>
        <v>-3.2416778828706659E-2</v>
      </c>
      <c r="AV8" s="284">
        <f t="shared" si="16"/>
        <v>-3.1799266550142001E-2</v>
      </c>
      <c r="AW8" s="284">
        <f t="shared" si="17"/>
        <v>-3.0895588022903871E-2</v>
      </c>
      <c r="AX8" s="284">
        <f t="shared" si="18"/>
        <v>-2.8892807826915314E-2</v>
      </c>
      <c r="AY8" s="284">
        <f t="shared" si="19"/>
        <v>-3.2961070882752824E-2</v>
      </c>
      <c r="AZ8" s="284">
        <f t="shared" si="20"/>
        <v>-2.9818142447657514E-2</v>
      </c>
      <c r="BA8" s="284">
        <f t="shared" si="21"/>
        <v>-3.4561088776930773E-2</v>
      </c>
      <c r="BB8" s="284">
        <f t="shared" si="22"/>
        <v>-3.4358445753413368E-2</v>
      </c>
      <c r="BC8" s="284">
        <f t="shared" si="23"/>
        <v>-4.3272200973231451E-2</v>
      </c>
      <c r="BD8" s="284">
        <f t="shared" si="24"/>
        <v>-4.6162121375300839E-2</v>
      </c>
    </row>
    <row r="9" spans="1:56" ht="15">
      <c r="A9" s="211" t="str">
        <f>VLOOKUP($C9,[2]ACHIEV!$B$12:$C$102,2,FALSE)</f>
        <v>LightingPPA</v>
      </c>
      <c r="B9" s="211" t="str">
        <f>'SC-NR'!$C$7</f>
        <v>PPA</v>
      </c>
      <c r="C9" s="211" t="str">
        <f>'SC-NR'!$C$8&amp;" PPA"</f>
        <v>Lighting PPA</v>
      </c>
      <c r="D9" s="211" t="s">
        <v>70</v>
      </c>
      <c r="E9" s="211" t="str">
        <f>'SC-NR'!$A$9</f>
        <v>Lighting</v>
      </c>
      <c r="F9" s="283">
        <f t="shared" si="25"/>
        <v>2.8595977668409698E-3</v>
      </c>
      <c r="G9" s="233">
        <f>'SC-NR'!A87</f>
        <v>10.945904277975469</v>
      </c>
      <c r="H9" s="233">
        <f>'SC-NR'!B87</f>
        <v>-72.33729952335888</v>
      </c>
      <c r="I9" s="179" t="str">
        <f>'SC-NR'!C87</f>
        <v>Multifamily - High Rise</v>
      </c>
      <c r="J9" s="179" t="str">
        <f>'SC-NR'!D87</f>
        <v>all45lm/WGeneral Purpose and Dimmable250 to 664 lumensANY</v>
      </c>
      <c r="K9" s="285">
        <f>'SC-NR'!E87</f>
        <v>5.9943872188507989E-2</v>
      </c>
      <c r="L9" s="285">
        <f>'SC-NR'!F87</f>
        <v>4.7864711922577748E-2</v>
      </c>
      <c r="M9" s="285">
        <f>'SC-NR'!G87</f>
        <v>3.5840463629600056E-2</v>
      </c>
      <c r="N9" s="285">
        <f>'SC-NR'!H87</f>
        <v>2.3740464538086734E-2</v>
      </c>
      <c r="O9" s="285">
        <f>'SC-NR'!I87</f>
        <v>0</v>
      </c>
      <c r="P9" s="285">
        <f>'SC-NR'!J87</f>
        <v>0</v>
      </c>
      <c r="Q9" s="285">
        <f>'SC-NR'!K87</f>
        <v>0</v>
      </c>
      <c r="R9" s="285">
        <f>'SC-NR'!L87</f>
        <v>0</v>
      </c>
      <c r="S9" s="285">
        <f>'SC-NR'!M87</f>
        <v>0</v>
      </c>
      <c r="T9" s="285">
        <f>'SC-NR'!N87</f>
        <v>0</v>
      </c>
      <c r="U9" s="285">
        <f>'SC-NR'!O87</f>
        <v>0</v>
      </c>
      <c r="V9" s="285">
        <f>'SC-NR'!P87</f>
        <v>0</v>
      </c>
      <c r="W9" s="285">
        <f>'SC-NR'!Q87</f>
        <v>0</v>
      </c>
      <c r="X9" s="285">
        <f>'SC-NR'!R87</f>
        <v>0</v>
      </c>
      <c r="Y9" s="285">
        <f>'SC-NR'!S87</f>
        <v>0</v>
      </c>
      <c r="Z9" s="285">
        <f>'SC-NR'!T87</f>
        <v>0</v>
      </c>
      <c r="AA9" s="285">
        <f>'SC-NR'!U87</f>
        <v>0</v>
      </c>
      <c r="AB9" s="285">
        <f>'SC-NR'!V87</f>
        <v>0</v>
      </c>
      <c r="AC9" s="285">
        <f>'SC-NR'!W87</f>
        <v>0</v>
      </c>
      <c r="AD9" s="285">
        <f>'SC-NR'!X87</f>
        <v>0</v>
      </c>
      <c r="AE9" s="285">
        <f>'SC-NR'!Y87</f>
        <v>0.35515659315643539</v>
      </c>
      <c r="AF9" s="284">
        <f t="shared" si="1"/>
        <v>0.78316602900259658</v>
      </c>
      <c r="AG9" s="284">
        <f t="shared" si="2"/>
        <v>0.62289472856149797</v>
      </c>
      <c r="AH9" s="284">
        <f t="shared" si="3"/>
        <v>0.6293221392943501</v>
      </c>
      <c r="AI9" s="284">
        <f t="shared" si="4"/>
        <v>0.5132584448867098</v>
      </c>
      <c r="AJ9" s="284">
        <f t="shared" si="5"/>
        <v>0.46736815951193028</v>
      </c>
      <c r="AK9" s="284">
        <f t="shared" si="6"/>
        <v>0.48023095456652459</v>
      </c>
      <c r="AL9" s="284">
        <f t="shared" si="7"/>
        <v>0.39632999704473071</v>
      </c>
      <c r="AM9" s="284">
        <f t="shared" si="8"/>
        <v>0.45207438594396671</v>
      </c>
      <c r="AN9" s="284">
        <f t="shared" si="9"/>
        <v>0.49780218458920139</v>
      </c>
      <c r="AO9" s="284">
        <f t="shared" si="10"/>
        <v>0.72649910032878062</v>
      </c>
      <c r="AP9" s="284">
        <f t="shared" si="11"/>
        <v>0.73337653013557191</v>
      </c>
      <c r="AQ9" s="284">
        <f t="shared" si="12"/>
        <v>0.80510228411086204</v>
      </c>
      <c r="AR9" s="284"/>
      <c r="AS9" s="284">
        <f t="shared" si="13"/>
        <v>0.40856408957431911</v>
      </c>
      <c r="AT9" s="284">
        <f t="shared" si="14"/>
        <v>0.31400087899487644</v>
      </c>
      <c r="AU9" s="284">
        <f t="shared" si="15"/>
        <v>0.29265989259466058</v>
      </c>
      <c r="AV9" s="284">
        <f t="shared" si="16"/>
        <v>0.28708496863088351</v>
      </c>
      <c r="AW9" s="284">
        <f t="shared" si="17"/>
        <v>0.2789265250631528</v>
      </c>
      <c r="AX9" s="284">
        <f t="shared" si="18"/>
        <v>0.26084535049161656</v>
      </c>
      <c r="AY9" s="284">
        <f t="shared" si="19"/>
        <v>0.29757378163092152</v>
      </c>
      <c r="AZ9" s="284">
        <f t="shared" si="20"/>
        <v>0.26919930608206899</v>
      </c>
      <c r="BA9" s="284">
        <f t="shared" si="21"/>
        <v>0.31201880306670299</v>
      </c>
      <c r="BB9" s="284">
        <f t="shared" si="22"/>
        <v>0.31018933426565282</v>
      </c>
      <c r="BC9" s="284">
        <f t="shared" si="23"/>
        <v>0.39066305002352214</v>
      </c>
      <c r="BD9" s="284">
        <f t="shared" si="24"/>
        <v>0.41675335958036747</v>
      </c>
    </row>
    <row r="10" spans="1:56" ht="15">
      <c r="A10" s="211" t="str">
        <f>VLOOKUP($C10,[2]ACHIEV!$B$12:$C$102,2,FALSE)</f>
        <v>LightingPPA</v>
      </c>
      <c r="B10" s="211" t="str">
        <f>'SC-NR'!$C$7</f>
        <v>PPA</v>
      </c>
      <c r="C10" s="211" t="str">
        <f>'SC-NR'!$C$8&amp;" PPA"</f>
        <v>Lighting PPA</v>
      </c>
      <c r="D10" s="211" t="s">
        <v>70</v>
      </c>
      <c r="E10" s="211" t="str">
        <f>'SC-NR'!$A$9</f>
        <v>Lighting</v>
      </c>
      <c r="F10" s="283">
        <f t="shared" si="25"/>
        <v>1.1226453334995136E-3</v>
      </c>
      <c r="G10" s="233">
        <f>'SC-NR'!A88</f>
        <v>4.2972366607268073</v>
      </c>
      <c r="H10" s="233">
        <f>'SC-NR'!B88</f>
        <v>-53.268788547414012</v>
      </c>
      <c r="I10" s="179" t="str">
        <f>'SC-NR'!C88</f>
        <v>Multifamily - High Rise</v>
      </c>
      <c r="J10" s="179" t="str">
        <f>'SC-NR'!D88</f>
        <v>all45lm/WGeneral Purpose and Dimmable665 to 1439 lumensANY</v>
      </c>
      <c r="K10" s="285">
        <f>'SC-NR'!E88</f>
        <v>0.18159367079432565</v>
      </c>
      <c r="L10" s="285">
        <f>'SC-NR'!F88</f>
        <v>0.14500112225316292</v>
      </c>
      <c r="M10" s="285">
        <f>'SC-NR'!G88</f>
        <v>0.10857492377206386</v>
      </c>
      <c r="N10" s="285">
        <f>'SC-NR'!H88</f>
        <v>7.1919246195446512E-2</v>
      </c>
      <c r="O10" s="285">
        <f>'SC-NR'!I88</f>
        <v>0</v>
      </c>
      <c r="P10" s="285">
        <f>'SC-NR'!J88</f>
        <v>0</v>
      </c>
      <c r="Q10" s="285">
        <f>'SC-NR'!K88</f>
        <v>0</v>
      </c>
      <c r="R10" s="285">
        <f>'SC-NR'!L88</f>
        <v>0</v>
      </c>
      <c r="S10" s="285">
        <f>'SC-NR'!M88</f>
        <v>0</v>
      </c>
      <c r="T10" s="285">
        <f>'SC-NR'!N88</f>
        <v>0</v>
      </c>
      <c r="U10" s="285">
        <f>'SC-NR'!O88</f>
        <v>0</v>
      </c>
      <c r="V10" s="285">
        <f>'SC-NR'!P88</f>
        <v>0</v>
      </c>
      <c r="W10" s="285">
        <f>'SC-NR'!Q88</f>
        <v>0</v>
      </c>
      <c r="X10" s="285">
        <f>'SC-NR'!R88</f>
        <v>0</v>
      </c>
      <c r="Y10" s="285">
        <f>'SC-NR'!S88</f>
        <v>0</v>
      </c>
      <c r="Z10" s="285">
        <f>'SC-NR'!T88</f>
        <v>0</v>
      </c>
      <c r="AA10" s="285">
        <f>'SC-NR'!U88</f>
        <v>0</v>
      </c>
      <c r="AB10" s="285">
        <f>'SC-NR'!V88</f>
        <v>0</v>
      </c>
      <c r="AC10" s="285">
        <f>'SC-NR'!W88</f>
        <v>0</v>
      </c>
      <c r="AD10" s="285">
        <f>'SC-NR'!X88</f>
        <v>0</v>
      </c>
      <c r="AE10" s="285">
        <f>'SC-NR'!Y88</f>
        <v>1.0759096318513834</v>
      </c>
      <c r="AF10" s="284">
        <f t="shared" si="1"/>
        <v>0.30746201371754167</v>
      </c>
      <c r="AG10" s="284">
        <f t="shared" si="2"/>
        <v>0.24454133668369918</v>
      </c>
      <c r="AH10" s="284">
        <f t="shared" si="3"/>
        <v>0.24706466452700365</v>
      </c>
      <c r="AI10" s="284">
        <f t="shared" si="4"/>
        <v>0.20149938733090586</v>
      </c>
      <c r="AJ10" s="284">
        <f t="shared" si="5"/>
        <v>0.18348338685477239</v>
      </c>
      <c r="AK10" s="284">
        <f t="shared" si="6"/>
        <v>0.18853317288106144</v>
      </c>
      <c r="AL10" s="284">
        <f t="shared" si="7"/>
        <v>0.15559461784014159</v>
      </c>
      <c r="AM10" s="284">
        <f t="shared" si="8"/>
        <v>0.17747922650510201</v>
      </c>
      <c r="AN10" s="284">
        <f t="shared" si="9"/>
        <v>0.1954314365521079</v>
      </c>
      <c r="AO10" s="284">
        <f t="shared" si="10"/>
        <v>0.2852152265025385</v>
      </c>
      <c r="AP10" s="284">
        <f t="shared" si="11"/>
        <v>0.2879152266803936</v>
      </c>
      <c r="AQ10" s="284">
        <f t="shared" si="12"/>
        <v>0.31607393624640645</v>
      </c>
      <c r="AR10" s="284"/>
      <c r="AS10" s="284">
        <f t="shared" si="13"/>
        <v>0.16039758245537711</v>
      </c>
      <c r="AT10" s="284">
        <f t="shared" si="14"/>
        <v>0.12327314897429335</v>
      </c>
      <c r="AU10" s="284">
        <f t="shared" si="15"/>
        <v>0.11489492212284845</v>
      </c>
      <c r="AV10" s="284">
        <f t="shared" si="16"/>
        <v>0.11270627082191288</v>
      </c>
      <c r="AW10" s="284">
        <f t="shared" si="17"/>
        <v>0.10950335931242107</v>
      </c>
      <c r="AX10" s="284">
        <f t="shared" si="18"/>
        <v>0.10240489725167137</v>
      </c>
      <c r="AY10" s="284">
        <f t="shared" si="19"/>
        <v>0.11682405868179428</v>
      </c>
      <c r="AZ10" s="284">
        <f t="shared" si="20"/>
        <v>0.10568456454216731</v>
      </c>
      <c r="BA10" s="284">
        <f t="shared" si="21"/>
        <v>0.1224950086647687</v>
      </c>
      <c r="BB10" s="284">
        <f t="shared" si="22"/>
        <v>0.12177678016560786</v>
      </c>
      <c r="BC10" s="284">
        <f t="shared" si="23"/>
        <v>0.15336983934075951</v>
      </c>
      <c r="BD10" s="284">
        <f t="shared" si="24"/>
        <v>0.16361259607151027</v>
      </c>
    </row>
    <row r="11" spans="1:56" ht="15">
      <c r="A11" s="211" t="str">
        <f>VLOOKUP($C11,[2]ACHIEV!$B$12:$C$102,2,FALSE)</f>
        <v>LightingPPA</v>
      </c>
      <c r="B11" s="211" t="str">
        <f>'SC-NR'!$C$7</f>
        <v>PPA</v>
      </c>
      <c r="C11" s="211" t="str">
        <f>'SC-NR'!$C$8&amp;" PPA"</f>
        <v>Lighting PPA</v>
      </c>
      <c r="D11" s="211" t="s">
        <v>70</v>
      </c>
      <c r="E11" s="211" t="str">
        <f>'SC-NR'!$A$9</f>
        <v>Lighting</v>
      </c>
      <c r="F11" s="283">
        <f t="shared" si="25"/>
        <v>-3.1674633488346478E-4</v>
      </c>
      <c r="G11" s="233">
        <f>'SC-NR'!A89</f>
        <v>-1.2124345256655047</v>
      </c>
      <c r="H11" s="233">
        <f>'SC-NR'!B89</f>
        <v>9999</v>
      </c>
      <c r="I11" s="179" t="str">
        <f>'SC-NR'!C89</f>
        <v>Multifamily - High Rise</v>
      </c>
      <c r="J11" s="179" t="str">
        <f>'SC-NR'!D89</f>
        <v>all45lm/WGeneral Purpose and Dimmable1440 to 2600 lumensANY</v>
      </c>
      <c r="K11" s="285">
        <f>'SC-NR'!E89</f>
        <v>-5.1082303582700743E-3</v>
      </c>
      <c r="L11" s="285">
        <f>'SC-NR'!F89</f>
        <v>-4.0788818874406612E-3</v>
      </c>
      <c r="M11" s="285">
        <f>'SC-NR'!G89</f>
        <v>-3.0542128441661885E-3</v>
      </c>
      <c r="N11" s="285">
        <f>'SC-NR'!H89</f>
        <v>-2.0230885534307896E-3</v>
      </c>
      <c r="O11" s="285">
        <f>'SC-NR'!I89</f>
        <v>0</v>
      </c>
      <c r="P11" s="285">
        <f>'SC-NR'!J89</f>
        <v>0</v>
      </c>
      <c r="Q11" s="285">
        <f>'SC-NR'!K89</f>
        <v>0</v>
      </c>
      <c r="R11" s="285">
        <f>'SC-NR'!L89</f>
        <v>0</v>
      </c>
      <c r="S11" s="285">
        <f>'SC-NR'!M89</f>
        <v>0</v>
      </c>
      <c r="T11" s="285">
        <f>'SC-NR'!N89</f>
        <v>0</v>
      </c>
      <c r="U11" s="285">
        <f>'SC-NR'!O89</f>
        <v>0</v>
      </c>
      <c r="V11" s="285">
        <f>'SC-NR'!P89</f>
        <v>0</v>
      </c>
      <c r="W11" s="285">
        <f>'SC-NR'!Q89</f>
        <v>0</v>
      </c>
      <c r="X11" s="285">
        <f>'SC-NR'!R89</f>
        <v>0</v>
      </c>
      <c r="Y11" s="285">
        <f>'SC-NR'!S89</f>
        <v>0</v>
      </c>
      <c r="Z11" s="285">
        <f>'SC-NR'!T89</f>
        <v>0</v>
      </c>
      <c r="AA11" s="285">
        <f>'SC-NR'!U89</f>
        <v>0</v>
      </c>
      <c r="AB11" s="285">
        <f>'SC-NR'!V89</f>
        <v>0</v>
      </c>
      <c r="AC11" s="285">
        <f>'SC-NR'!W89</f>
        <v>0</v>
      </c>
      <c r="AD11" s="285">
        <f>'SC-NR'!X89</f>
        <v>0</v>
      </c>
      <c r="AE11" s="285">
        <f>'SC-NR'!Y89</f>
        <v>-3.0265340306949457E-2</v>
      </c>
      <c r="AF11" s="284">
        <f t="shared" si="1"/>
        <v>-8.6748203599924453E-2</v>
      </c>
      <c r="AG11" s="284">
        <f t="shared" si="2"/>
        <v>-6.8995585525318218E-2</v>
      </c>
      <c r="AH11" s="284">
        <f t="shared" si="3"/>
        <v>-6.9707524391696127E-2</v>
      </c>
      <c r="AI11" s="284">
        <f t="shared" si="4"/>
        <v>-5.6851607995710554E-2</v>
      </c>
      <c r="AJ11" s="284">
        <f t="shared" si="5"/>
        <v>-5.1768522581472284E-2</v>
      </c>
      <c r="AK11" s="284">
        <f t="shared" si="6"/>
        <v>-5.3193283517133788E-2</v>
      </c>
      <c r="AL11" s="284">
        <f t="shared" si="7"/>
        <v>-4.3899906281915313E-2</v>
      </c>
      <c r="AM11" s="284">
        <f t="shared" si="8"/>
        <v>-5.0074491770439176E-2</v>
      </c>
      <c r="AN11" s="284">
        <f t="shared" si="9"/>
        <v>-5.5139579172283071E-2</v>
      </c>
      <c r="AO11" s="284">
        <f t="shared" si="10"/>
        <v>-8.0471432029228185E-2</v>
      </c>
      <c r="AP11" s="284">
        <f t="shared" si="11"/>
        <v>-8.1233217728594556E-2</v>
      </c>
      <c r="AQ11" s="284">
        <f t="shared" si="12"/>
        <v>-8.9177995820068606E-2</v>
      </c>
      <c r="AR11" s="284"/>
      <c r="AS11" s="284">
        <f t="shared" si="13"/>
        <v>-4.5255028325409272E-2</v>
      </c>
      <c r="AT11" s="284">
        <f t="shared" si="14"/>
        <v>-3.478063548835629E-2</v>
      </c>
      <c r="AU11" s="284">
        <f t="shared" si="15"/>
        <v>-3.2416778828706659E-2</v>
      </c>
      <c r="AV11" s="284">
        <f t="shared" si="16"/>
        <v>-3.1799266550142001E-2</v>
      </c>
      <c r="AW11" s="284">
        <f t="shared" si="17"/>
        <v>-3.0895588022903871E-2</v>
      </c>
      <c r="AX11" s="284">
        <f t="shared" si="18"/>
        <v>-2.8892807826915314E-2</v>
      </c>
      <c r="AY11" s="284">
        <f t="shared" si="19"/>
        <v>-3.2961070882752824E-2</v>
      </c>
      <c r="AZ11" s="284">
        <f t="shared" si="20"/>
        <v>-2.9818142447657514E-2</v>
      </c>
      <c r="BA11" s="284">
        <f t="shared" si="21"/>
        <v>-3.4561088776930773E-2</v>
      </c>
      <c r="BB11" s="284">
        <f t="shared" si="22"/>
        <v>-3.4358445753413368E-2</v>
      </c>
      <c r="BC11" s="284">
        <f t="shared" si="23"/>
        <v>-4.3272200973231451E-2</v>
      </c>
      <c r="BD11" s="284">
        <f t="shared" si="24"/>
        <v>-4.6162121375300839E-2</v>
      </c>
    </row>
    <row r="12" spans="1:56" ht="15">
      <c r="A12" s="211" t="str">
        <f>VLOOKUP($C12,[2]ACHIEV!$B$12:$C$102,2,FALSE)</f>
        <v>LightingPPA</v>
      </c>
      <c r="B12" s="211" t="str">
        <f>'SC-NR'!$C$7</f>
        <v>PPA</v>
      </c>
      <c r="C12" s="211" t="str">
        <f>'SC-NR'!$C$8&amp;" PPA"</f>
        <v>Lighting PPA</v>
      </c>
      <c r="D12" s="211" t="s">
        <v>70</v>
      </c>
      <c r="E12" s="211" t="str">
        <f>'SC-NR'!$A$9</f>
        <v>Lighting</v>
      </c>
      <c r="F12" s="283">
        <f t="shared" si="25"/>
        <v>2.8595977668409698E-3</v>
      </c>
      <c r="G12" s="233">
        <f>'SC-NR'!A90</f>
        <v>10.945904277975469</v>
      </c>
      <c r="H12" s="233">
        <f>'SC-NR'!B90</f>
        <v>-72.33729952335888</v>
      </c>
      <c r="I12" s="179" t="str">
        <f>'SC-NR'!C90</f>
        <v>Manufactured</v>
      </c>
      <c r="J12" s="179" t="str">
        <f>'SC-NR'!D90</f>
        <v>all45lm/WGeneral Purpose and Dimmable250 to 664 lumensANY</v>
      </c>
      <c r="K12" s="285">
        <f>'SC-NR'!E90</f>
        <v>0.22687804161507155</v>
      </c>
      <c r="L12" s="285">
        <f>'SC-NR'!F90</f>
        <v>0.17959767055039697</v>
      </c>
      <c r="M12" s="285">
        <f>'SC-NR'!G90</f>
        <v>0.13332992255276013</v>
      </c>
      <c r="N12" s="285">
        <f>'SC-NR'!H90</f>
        <v>8.7987098305177258E-2</v>
      </c>
      <c r="O12" s="285">
        <f>'SC-NR'!I90</f>
        <v>0</v>
      </c>
      <c r="P12" s="285">
        <f>'SC-NR'!J90</f>
        <v>0</v>
      </c>
      <c r="Q12" s="285">
        <f>'SC-NR'!K90</f>
        <v>0</v>
      </c>
      <c r="R12" s="285">
        <f>'SC-NR'!L90</f>
        <v>0</v>
      </c>
      <c r="S12" s="285">
        <f>'SC-NR'!M90</f>
        <v>0</v>
      </c>
      <c r="T12" s="285">
        <f>'SC-NR'!N90</f>
        <v>0</v>
      </c>
      <c r="U12" s="285">
        <f>'SC-NR'!O90</f>
        <v>0</v>
      </c>
      <c r="V12" s="285">
        <f>'SC-NR'!P90</f>
        <v>0</v>
      </c>
      <c r="W12" s="285">
        <f>'SC-NR'!Q90</f>
        <v>0</v>
      </c>
      <c r="X12" s="285">
        <f>'SC-NR'!R90</f>
        <v>0</v>
      </c>
      <c r="Y12" s="285">
        <f>'SC-NR'!S90</f>
        <v>0</v>
      </c>
      <c r="Z12" s="285">
        <f>'SC-NR'!T90</f>
        <v>0</v>
      </c>
      <c r="AA12" s="285">
        <f>'SC-NR'!U90</f>
        <v>0</v>
      </c>
      <c r="AB12" s="285">
        <f>'SC-NR'!V90</f>
        <v>0</v>
      </c>
      <c r="AC12" s="285">
        <f>'SC-NR'!W90</f>
        <v>0</v>
      </c>
      <c r="AD12" s="285">
        <f>'SC-NR'!X90</f>
        <v>0</v>
      </c>
      <c r="AE12" s="285">
        <f>'SC-NR'!Y90</f>
        <v>1.3791173760145772</v>
      </c>
      <c r="AF12" s="284">
        <f t="shared" si="1"/>
        <v>0.78316602900259658</v>
      </c>
      <c r="AG12" s="284">
        <f t="shared" si="2"/>
        <v>0.62289472856149797</v>
      </c>
      <c r="AH12" s="284">
        <f t="shared" si="3"/>
        <v>0.6293221392943501</v>
      </c>
      <c r="AI12" s="284">
        <f t="shared" si="4"/>
        <v>0.5132584448867098</v>
      </c>
      <c r="AJ12" s="284">
        <f t="shared" si="5"/>
        <v>0.46736815951193028</v>
      </c>
      <c r="AK12" s="284">
        <f t="shared" si="6"/>
        <v>0.48023095456652459</v>
      </c>
      <c r="AL12" s="284">
        <f t="shared" si="7"/>
        <v>0.39632999704473071</v>
      </c>
      <c r="AM12" s="284">
        <f t="shared" si="8"/>
        <v>0.45207438594396671</v>
      </c>
      <c r="AN12" s="284">
        <f t="shared" si="9"/>
        <v>0.49780218458920139</v>
      </c>
      <c r="AO12" s="284">
        <f t="shared" si="10"/>
        <v>0.72649910032878062</v>
      </c>
      <c r="AP12" s="284">
        <f t="shared" si="11"/>
        <v>0.73337653013557191</v>
      </c>
      <c r="AQ12" s="284">
        <f t="shared" si="12"/>
        <v>0.80510228411086204</v>
      </c>
      <c r="AR12" s="284"/>
      <c r="AS12" s="284">
        <f t="shared" si="13"/>
        <v>0.40856408957431911</v>
      </c>
      <c r="AT12" s="284">
        <f t="shared" si="14"/>
        <v>0.31400087899487644</v>
      </c>
      <c r="AU12" s="284">
        <f t="shared" si="15"/>
        <v>0.29265989259466058</v>
      </c>
      <c r="AV12" s="284">
        <f t="shared" si="16"/>
        <v>0.28708496863088351</v>
      </c>
      <c r="AW12" s="284">
        <f t="shared" si="17"/>
        <v>0.2789265250631528</v>
      </c>
      <c r="AX12" s="284">
        <f t="shared" si="18"/>
        <v>0.26084535049161656</v>
      </c>
      <c r="AY12" s="284">
        <f t="shared" si="19"/>
        <v>0.29757378163092152</v>
      </c>
      <c r="AZ12" s="284">
        <f t="shared" si="20"/>
        <v>0.26919930608206899</v>
      </c>
      <c r="BA12" s="284">
        <f t="shared" si="21"/>
        <v>0.31201880306670299</v>
      </c>
      <c r="BB12" s="284">
        <f t="shared" si="22"/>
        <v>0.31018933426565282</v>
      </c>
      <c r="BC12" s="284">
        <f t="shared" si="23"/>
        <v>0.39066305002352214</v>
      </c>
      <c r="BD12" s="284">
        <f t="shared" si="24"/>
        <v>0.41675335958036747</v>
      </c>
    </row>
    <row r="13" spans="1:56" ht="15">
      <c r="A13" s="211" t="str">
        <f>VLOOKUP($C13,[2]ACHIEV!$B$12:$C$102,2,FALSE)</f>
        <v>LightingPPA</v>
      </c>
      <c r="B13" s="211" t="str">
        <f>'SC-NR'!$C$7</f>
        <v>PPA</v>
      </c>
      <c r="C13" s="211" t="str">
        <f>'SC-NR'!$C$8&amp;" PPA"</f>
        <v>Lighting PPA</v>
      </c>
      <c r="D13" s="211" t="s">
        <v>70</v>
      </c>
      <c r="E13" s="211" t="str">
        <f>'SC-NR'!$A$9</f>
        <v>Lighting</v>
      </c>
      <c r="F13" s="283">
        <f t="shared" si="25"/>
        <v>1.1226453334995136E-3</v>
      </c>
      <c r="G13" s="233">
        <f>'SC-NR'!A91</f>
        <v>4.2972366607268073</v>
      </c>
      <c r="H13" s="233">
        <f>'SC-NR'!B91</f>
        <v>-53.268788547414012</v>
      </c>
      <c r="I13" s="179" t="str">
        <f>'SC-NR'!C91</f>
        <v>Manufactured</v>
      </c>
      <c r="J13" s="179" t="str">
        <f>'SC-NR'!D91</f>
        <v>all45lm/WGeneral Purpose and Dimmable665 to 1439 lumensANY</v>
      </c>
      <c r="K13" s="285">
        <f>'SC-NR'!E91</f>
        <v>0.68730322041836867</v>
      </c>
      <c r="L13" s="285">
        <f>'SC-NR'!F91</f>
        <v>0.54407229747845731</v>
      </c>
      <c r="M13" s="285">
        <f>'SC-NR'!G91</f>
        <v>0.40390900986407396</v>
      </c>
      <c r="N13" s="285">
        <f>'SC-NR'!H91</f>
        <v>0.2665476816968374</v>
      </c>
      <c r="O13" s="285">
        <f>'SC-NR'!I91</f>
        <v>0</v>
      </c>
      <c r="P13" s="285">
        <f>'SC-NR'!J91</f>
        <v>0</v>
      </c>
      <c r="Q13" s="285">
        <f>'SC-NR'!K91</f>
        <v>0</v>
      </c>
      <c r="R13" s="285">
        <f>'SC-NR'!L91</f>
        <v>0</v>
      </c>
      <c r="S13" s="285">
        <f>'SC-NR'!M91</f>
        <v>0</v>
      </c>
      <c r="T13" s="285">
        <f>'SC-NR'!N91</f>
        <v>0</v>
      </c>
      <c r="U13" s="285">
        <f>'SC-NR'!O91</f>
        <v>0</v>
      </c>
      <c r="V13" s="285">
        <f>'SC-NR'!P91</f>
        <v>0</v>
      </c>
      <c r="W13" s="285">
        <f>'SC-NR'!Q91</f>
        <v>0</v>
      </c>
      <c r="X13" s="285">
        <f>'SC-NR'!R91</f>
        <v>0</v>
      </c>
      <c r="Y13" s="285">
        <f>'SC-NR'!S91</f>
        <v>0</v>
      </c>
      <c r="Z13" s="285">
        <f>'SC-NR'!T91</f>
        <v>0</v>
      </c>
      <c r="AA13" s="285">
        <f>'SC-NR'!U91</f>
        <v>0</v>
      </c>
      <c r="AB13" s="285">
        <f>'SC-NR'!V91</f>
        <v>0</v>
      </c>
      <c r="AC13" s="285">
        <f>'SC-NR'!W91</f>
        <v>0</v>
      </c>
      <c r="AD13" s="285">
        <f>'SC-NR'!X91</f>
        <v>0</v>
      </c>
      <c r="AE13" s="285">
        <f>'SC-NR'!Y91</f>
        <v>4.1778913777735189</v>
      </c>
      <c r="AF13" s="284">
        <f t="shared" si="1"/>
        <v>0.30746201371754167</v>
      </c>
      <c r="AG13" s="284">
        <f t="shared" si="2"/>
        <v>0.24454133668369918</v>
      </c>
      <c r="AH13" s="284">
        <f t="shared" si="3"/>
        <v>0.24706466452700365</v>
      </c>
      <c r="AI13" s="284">
        <f t="shared" si="4"/>
        <v>0.20149938733090586</v>
      </c>
      <c r="AJ13" s="284">
        <f t="shared" si="5"/>
        <v>0.18348338685477239</v>
      </c>
      <c r="AK13" s="284">
        <f t="shared" si="6"/>
        <v>0.18853317288106144</v>
      </c>
      <c r="AL13" s="284">
        <f t="shared" si="7"/>
        <v>0.15559461784014159</v>
      </c>
      <c r="AM13" s="284">
        <f t="shared" si="8"/>
        <v>0.17747922650510201</v>
      </c>
      <c r="AN13" s="284">
        <f t="shared" si="9"/>
        <v>0.1954314365521079</v>
      </c>
      <c r="AO13" s="284">
        <f t="shared" si="10"/>
        <v>0.2852152265025385</v>
      </c>
      <c r="AP13" s="284">
        <f t="shared" si="11"/>
        <v>0.2879152266803936</v>
      </c>
      <c r="AQ13" s="284">
        <f t="shared" si="12"/>
        <v>0.31607393624640645</v>
      </c>
      <c r="AR13" s="284"/>
      <c r="AS13" s="284">
        <f t="shared" si="13"/>
        <v>0.16039758245537711</v>
      </c>
      <c r="AT13" s="284">
        <f t="shared" si="14"/>
        <v>0.12327314897429335</v>
      </c>
      <c r="AU13" s="284">
        <f t="shared" si="15"/>
        <v>0.11489492212284845</v>
      </c>
      <c r="AV13" s="284">
        <f t="shared" si="16"/>
        <v>0.11270627082191288</v>
      </c>
      <c r="AW13" s="284">
        <f t="shared" si="17"/>
        <v>0.10950335931242107</v>
      </c>
      <c r="AX13" s="284">
        <f t="shared" si="18"/>
        <v>0.10240489725167137</v>
      </c>
      <c r="AY13" s="284">
        <f t="shared" si="19"/>
        <v>0.11682405868179428</v>
      </c>
      <c r="AZ13" s="284">
        <f t="shared" si="20"/>
        <v>0.10568456454216731</v>
      </c>
      <c r="BA13" s="284">
        <f t="shared" si="21"/>
        <v>0.1224950086647687</v>
      </c>
      <c r="BB13" s="284">
        <f t="shared" si="22"/>
        <v>0.12177678016560786</v>
      </c>
      <c r="BC13" s="284">
        <f t="shared" si="23"/>
        <v>0.15336983934075951</v>
      </c>
      <c r="BD13" s="284">
        <f t="shared" si="24"/>
        <v>0.16361259607151027</v>
      </c>
    </row>
    <row r="14" spans="1:56" ht="15">
      <c r="A14" s="211" t="str">
        <f>VLOOKUP($C14,[2]ACHIEV!$B$12:$C$102,2,FALSE)</f>
        <v>LightingPPA</v>
      </c>
      <c r="B14" s="211" t="str">
        <f>'SC-NR'!$C$7</f>
        <v>PPA</v>
      </c>
      <c r="C14" s="211" t="str">
        <f>'SC-NR'!$C$8&amp;" PPA"</f>
        <v>Lighting PPA</v>
      </c>
      <c r="D14" s="211" t="s">
        <v>70</v>
      </c>
      <c r="E14" s="211" t="str">
        <f>'SC-NR'!$A$9</f>
        <v>Lighting</v>
      </c>
      <c r="F14" s="283">
        <f t="shared" si="25"/>
        <v>-3.1674633488346478E-4</v>
      </c>
      <c r="G14" s="233">
        <f>'SC-NR'!A92</f>
        <v>-1.2124345256655047</v>
      </c>
      <c r="H14" s="233">
        <f>'SC-NR'!B92</f>
        <v>9999</v>
      </c>
      <c r="I14" s="179" t="str">
        <f>'SC-NR'!C92</f>
        <v>Manufactured</v>
      </c>
      <c r="J14" s="179" t="str">
        <f>'SC-NR'!D92</f>
        <v>all45lm/WGeneral Purpose and Dimmable1440 to 2600 lumensANY</v>
      </c>
      <c r="K14" s="285">
        <f>'SC-NR'!E92</f>
        <v>-1.9333841099860652E-2</v>
      </c>
      <c r="L14" s="285">
        <f>'SC-NR'!F92</f>
        <v>-1.530475492298957E-2</v>
      </c>
      <c r="M14" s="285">
        <f>'SC-NR'!G92</f>
        <v>-1.1361961334562885E-2</v>
      </c>
      <c r="N14" s="285">
        <f>'SC-NR'!H92</f>
        <v>-7.4979868715382529E-3</v>
      </c>
      <c r="O14" s="285">
        <f>'SC-NR'!I92</f>
        <v>0</v>
      </c>
      <c r="P14" s="285">
        <f>'SC-NR'!J92</f>
        <v>0</v>
      </c>
      <c r="Q14" s="285">
        <f>'SC-NR'!K92</f>
        <v>0</v>
      </c>
      <c r="R14" s="285">
        <f>'SC-NR'!L92</f>
        <v>0</v>
      </c>
      <c r="S14" s="285">
        <f>'SC-NR'!M92</f>
        <v>0</v>
      </c>
      <c r="T14" s="285">
        <f>'SC-NR'!N92</f>
        <v>0</v>
      </c>
      <c r="U14" s="285">
        <f>'SC-NR'!O92</f>
        <v>0</v>
      </c>
      <c r="V14" s="285">
        <f>'SC-NR'!P92</f>
        <v>0</v>
      </c>
      <c r="W14" s="285">
        <f>'SC-NR'!Q92</f>
        <v>0</v>
      </c>
      <c r="X14" s="285">
        <f>'SC-NR'!R92</f>
        <v>0</v>
      </c>
      <c r="Y14" s="285">
        <f>'SC-NR'!S92</f>
        <v>0</v>
      </c>
      <c r="Z14" s="285">
        <f>'SC-NR'!T92</f>
        <v>0</v>
      </c>
      <c r="AA14" s="285">
        <f>'SC-NR'!U92</f>
        <v>0</v>
      </c>
      <c r="AB14" s="285">
        <f>'SC-NR'!V92</f>
        <v>0</v>
      </c>
      <c r="AC14" s="285">
        <f>'SC-NR'!W92</f>
        <v>0</v>
      </c>
      <c r="AD14" s="285">
        <f>'SC-NR'!X92</f>
        <v>0</v>
      </c>
      <c r="AE14" s="285">
        <f>'SC-NR'!Y92</f>
        <v>-0.11752409363247668</v>
      </c>
      <c r="AF14" s="284">
        <f t="shared" si="1"/>
        <v>-8.6748203599924453E-2</v>
      </c>
      <c r="AG14" s="284">
        <f t="shared" si="2"/>
        <v>-6.8995585525318218E-2</v>
      </c>
      <c r="AH14" s="284">
        <f t="shared" si="3"/>
        <v>-6.9707524391696127E-2</v>
      </c>
      <c r="AI14" s="284">
        <f t="shared" si="4"/>
        <v>-5.6851607995710554E-2</v>
      </c>
      <c r="AJ14" s="284">
        <f t="shared" si="5"/>
        <v>-5.1768522581472284E-2</v>
      </c>
      <c r="AK14" s="284">
        <f t="shared" si="6"/>
        <v>-5.3193283517133788E-2</v>
      </c>
      <c r="AL14" s="284">
        <f t="shared" si="7"/>
        <v>-4.3899906281915313E-2</v>
      </c>
      <c r="AM14" s="284">
        <f t="shared" si="8"/>
        <v>-5.0074491770439176E-2</v>
      </c>
      <c r="AN14" s="284">
        <f t="shared" si="9"/>
        <v>-5.5139579172283071E-2</v>
      </c>
      <c r="AO14" s="284">
        <f t="shared" si="10"/>
        <v>-8.0471432029228185E-2</v>
      </c>
      <c r="AP14" s="284">
        <f t="shared" si="11"/>
        <v>-8.1233217728594556E-2</v>
      </c>
      <c r="AQ14" s="284">
        <f t="shared" si="12"/>
        <v>-8.9177995820068606E-2</v>
      </c>
      <c r="AR14" s="284"/>
      <c r="AS14" s="284">
        <f t="shared" si="13"/>
        <v>-4.5255028325409272E-2</v>
      </c>
      <c r="AT14" s="284">
        <f t="shared" si="14"/>
        <v>-3.478063548835629E-2</v>
      </c>
      <c r="AU14" s="284">
        <f t="shared" si="15"/>
        <v>-3.2416778828706659E-2</v>
      </c>
      <c r="AV14" s="284">
        <f t="shared" si="16"/>
        <v>-3.1799266550142001E-2</v>
      </c>
      <c r="AW14" s="284">
        <f t="shared" si="17"/>
        <v>-3.0895588022903871E-2</v>
      </c>
      <c r="AX14" s="284">
        <f t="shared" si="18"/>
        <v>-2.8892807826915314E-2</v>
      </c>
      <c r="AY14" s="284">
        <f t="shared" si="19"/>
        <v>-3.2961070882752824E-2</v>
      </c>
      <c r="AZ14" s="284">
        <f t="shared" si="20"/>
        <v>-2.9818142447657514E-2</v>
      </c>
      <c r="BA14" s="284">
        <f t="shared" si="21"/>
        <v>-3.4561088776930773E-2</v>
      </c>
      <c r="BB14" s="284">
        <f t="shared" si="22"/>
        <v>-3.4358445753413368E-2</v>
      </c>
      <c r="BC14" s="284">
        <f t="shared" si="23"/>
        <v>-4.3272200973231451E-2</v>
      </c>
      <c r="BD14" s="284">
        <f t="shared" si="24"/>
        <v>-4.6162121375300839E-2</v>
      </c>
    </row>
    <row r="15" spans="1:56" ht="15">
      <c r="A15" s="211"/>
      <c r="B15" s="211"/>
      <c r="C15" s="211"/>
      <c r="D15" s="211"/>
      <c r="E15" s="211"/>
      <c r="F15" s="283"/>
      <c r="G15" s="233"/>
      <c r="H15" s="233"/>
      <c r="K15" s="285"/>
      <c r="L15" s="285"/>
      <c r="M15" s="285"/>
      <c r="N15" s="285"/>
      <c r="O15" s="285"/>
      <c r="P15" s="285"/>
      <c r="Q15" s="285"/>
      <c r="R15" s="285"/>
      <c r="S15" s="285"/>
      <c r="T15" s="285"/>
      <c r="U15" s="285"/>
      <c r="V15" s="285"/>
      <c r="W15" s="285"/>
      <c r="X15" s="285"/>
      <c r="Y15" s="285"/>
      <c r="Z15" s="285"/>
      <c r="AA15" s="285"/>
      <c r="AB15" s="285"/>
      <c r="AC15" s="285"/>
      <c r="AD15" s="285"/>
      <c r="AE15" s="285"/>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row>
    <row r="16" spans="1:56" ht="15">
      <c r="A16" s="211"/>
      <c r="B16" s="211"/>
      <c r="C16" s="211"/>
      <c r="D16" s="211"/>
      <c r="E16" s="211"/>
      <c r="F16" s="283"/>
      <c r="G16" s="233"/>
      <c r="H16" s="233"/>
      <c r="K16" s="285"/>
      <c r="L16" s="285"/>
      <c r="M16" s="285"/>
      <c r="N16" s="285"/>
      <c r="O16" s="285"/>
      <c r="P16" s="285"/>
      <c r="Q16" s="285"/>
      <c r="R16" s="285"/>
      <c r="S16" s="285"/>
      <c r="T16" s="285"/>
      <c r="U16" s="285"/>
      <c r="V16" s="285"/>
      <c r="W16" s="285"/>
      <c r="X16" s="285"/>
      <c r="Y16" s="285"/>
      <c r="Z16" s="285"/>
      <c r="AA16" s="285"/>
      <c r="AB16" s="285"/>
      <c r="AC16" s="285"/>
      <c r="AD16" s="285"/>
      <c r="AE16" s="285"/>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row>
    <row r="17" spans="1:56" ht="15">
      <c r="A17" s="211"/>
      <c r="B17" s="211"/>
      <c r="C17" s="211"/>
      <c r="D17" s="211"/>
      <c r="E17" s="211"/>
      <c r="F17" s="283"/>
      <c r="G17" s="233"/>
      <c r="H17" s="233"/>
      <c r="K17" s="285"/>
      <c r="L17" s="285"/>
      <c r="M17" s="285"/>
      <c r="N17" s="285"/>
      <c r="O17" s="285"/>
      <c r="P17" s="285"/>
      <c r="Q17" s="285"/>
      <c r="R17" s="285"/>
      <c r="S17" s="285"/>
      <c r="T17" s="285"/>
      <c r="U17" s="285"/>
      <c r="V17" s="285"/>
      <c r="W17" s="285"/>
      <c r="X17" s="285"/>
      <c r="Y17" s="285"/>
      <c r="Z17" s="285"/>
      <c r="AA17" s="285"/>
      <c r="AB17" s="285"/>
      <c r="AC17" s="285"/>
      <c r="AD17" s="285"/>
      <c r="AE17" s="285"/>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row>
    <row r="18" spans="1:56" ht="15">
      <c r="A18" s="211"/>
      <c r="B18" s="211"/>
      <c r="C18" s="211"/>
      <c r="D18" s="211"/>
      <c r="E18" s="211"/>
      <c r="F18" s="283"/>
      <c r="G18" s="233"/>
      <c r="H18" s="233"/>
      <c r="K18" s="285"/>
      <c r="L18" s="285"/>
      <c r="M18" s="285"/>
      <c r="N18" s="285"/>
      <c r="O18" s="285"/>
      <c r="P18" s="285"/>
      <c r="Q18" s="285"/>
      <c r="R18" s="285"/>
      <c r="S18" s="285"/>
      <c r="T18" s="285"/>
      <c r="U18" s="285"/>
      <c r="V18" s="285"/>
      <c r="W18" s="285"/>
      <c r="X18" s="285"/>
      <c r="Y18" s="285"/>
      <c r="Z18" s="285"/>
      <c r="AA18" s="285"/>
      <c r="AB18" s="285"/>
      <c r="AC18" s="285"/>
      <c r="AD18" s="285"/>
      <c r="AE18" s="285"/>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row>
    <row r="19" spans="1:56" ht="15">
      <c r="A19" s="211"/>
      <c r="B19" s="211"/>
      <c r="C19" s="211"/>
      <c r="D19" s="211"/>
      <c r="E19" s="211"/>
      <c r="F19" s="283"/>
      <c r="G19" s="233"/>
      <c r="H19" s="233"/>
      <c r="K19" s="193"/>
      <c r="L19" s="193"/>
      <c r="M19" s="193"/>
      <c r="N19" s="193"/>
      <c r="O19" s="193"/>
      <c r="P19" s="193"/>
      <c r="Q19" s="193"/>
      <c r="R19" s="193"/>
      <c r="S19" s="193"/>
      <c r="T19" s="193"/>
      <c r="U19" s="193"/>
      <c r="V19" s="193"/>
      <c r="W19" s="193"/>
      <c r="X19" s="193"/>
      <c r="Y19" s="193"/>
      <c r="Z19" s="193"/>
      <c r="AA19" s="193"/>
      <c r="AB19" s="193"/>
      <c r="AC19" s="193"/>
      <c r="AD19" s="193"/>
      <c r="AE19" s="193"/>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row>
    <row r="20" spans="1:56" ht="15">
      <c r="A20" s="211"/>
      <c r="B20" s="211"/>
      <c r="C20" s="211"/>
      <c r="D20" s="211"/>
      <c r="E20" s="211"/>
      <c r="F20" s="283"/>
      <c r="G20" s="233"/>
      <c r="H20" s="233"/>
      <c r="K20" s="193"/>
      <c r="L20" s="193"/>
      <c r="M20" s="193"/>
      <c r="N20" s="193"/>
      <c r="O20" s="193"/>
      <c r="P20" s="193"/>
      <c r="Q20" s="193"/>
      <c r="R20" s="193"/>
      <c r="S20" s="193"/>
      <c r="T20" s="193"/>
      <c r="U20" s="193"/>
      <c r="V20" s="193"/>
      <c r="W20" s="193"/>
      <c r="X20" s="193"/>
      <c r="Y20" s="193"/>
      <c r="Z20" s="193"/>
      <c r="AA20" s="193"/>
      <c r="AB20" s="193"/>
      <c r="AC20" s="193"/>
      <c r="AD20" s="193"/>
      <c r="AE20" s="193"/>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row>
    <row r="21" spans="1:56" ht="15">
      <c r="A21" s="211"/>
      <c r="B21" s="211"/>
      <c r="C21" s="211"/>
      <c r="D21" s="211"/>
      <c r="E21" s="211"/>
      <c r="F21" s="283"/>
      <c r="G21" s="233"/>
      <c r="H21" s="233"/>
      <c r="K21" s="193"/>
      <c r="L21" s="193"/>
      <c r="M21" s="193"/>
      <c r="N21" s="193"/>
      <c r="O21" s="193"/>
      <c r="P21" s="193"/>
      <c r="Q21" s="193"/>
      <c r="R21" s="193"/>
      <c r="S21" s="193"/>
      <c r="T21" s="193"/>
      <c r="U21" s="193"/>
      <c r="V21" s="193"/>
      <c r="W21" s="193"/>
      <c r="X21" s="193"/>
      <c r="Y21" s="193"/>
      <c r="Z21" s="193"/>
      <c r="AA21" s="193"/>
      <c r="AB21" s="193"/>
      <c r="AC21" s="193"/>
      <c r="AD21" s="193"/>
      <c r="AE21" s="193"/>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row>
    <row r="22" spans="1:56" ht="15">
      <c r="A22" s="211"/>
      <c r="B22" s="211"/>
      <c r="C22" s="211"/>
      <c r="D22" s="211"/>
      <c r="E22" s="211"/>
      <c r="F22" s="283"/>
      <c r="G22" s="233"/>
      <c r="H22" s="233"/>
      <c r="K22" s="193"/>
      <c r="L22" s="193"/>
      <c r="M22" s="193"/>
      <c r="N22" s="193"/>
      <c r="O22" s="193"/>
      <c r="P22" s="193"/>
      <c r="Q22" s="193"/>
      <c r="R22" s="193"/>
      <c r="S22" s="193"/>
      <c r="T22" s="193"/>
      <c r="U22" s="193"/>
      <c r="V22" s="193"/>
      <c r="W22" s="193"/>
      <c r="X22" s="193"/>
      <c r="Y22" s="193"/>
      <c r="Z22" s="193"/>
      <c r="AA22" s="193"/>
      <c r="AB22" s="193"/>
      <c r="AC22" s="193"/>
      <c r="AD22" s="193"/>
      <c r="AE22" s="193"/>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row>
    <row r="23" spans="1:56" ht="15">
      <c r="A23" s="211"/>
      <c r="B23" s="211"/>
      <c r="C23" s="211"/>
      <c r="D23" s="211"/>
      <c r="E23" s="211"/>
      <c r="F23" s="283"/>
      <c r="G23" s="233"/>
      <c r="H23" s="233"/>
      <c r="K23" s="193"/>
      <c r="L23" s="193"/>
      <c r="M23" s="193"/>
      <c r="N23" s="193"/>
      <c r="O23" s="193"/>
      <c r="P23" s="193"/>
      <c r="Q23" s="193"/>
      <c r="R23" s="193"/>
      <c r="S23" s="193"/>
      <c r="T23" s="193"/>
      <c r="U23" s="193"/>
      <c r="V23" s="193"/>
      <c r="W23" s="193"/>
      <c r="X23" s="193"/>
      <c r="Y23" s="193"/>
      <c r="Z23" s="193"/>
      <c r="AA23" s="193"/>
      <c r="AB23" s="193"/>
      <c r="AC23" s="193"/>
      <c r="AD23" s="193"/>
      <c r="AE23" s="193"/>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row>
    <row r="24" spans="1:56" ht="15">
      <c r="A24" s="211"/>
      <c r="B24" s="211"/>
      <c r="C24" s="211"/>
      <c r="D24" s="211"/>
      <c r="E24" s="211"/>
      <c r="F24" s="283"/>
      <c r="G24" s="233"/>
      <c r="H24" s="233"/>
      <c r="K24" s="193"/>
      <c r="L24" s="193"/>
      <c r="M24" s="193"/>
      <c r="N24" s="193"/>
      <c r="O24" s="193"/>
      <c r="P24" s="193"/>
      <c r="Q24" s="193"/>
      <c r="R24" s="193"/>
      <c r="S24" s="193"/>
      <c r="T24" s="193"/>
      <c r="U24" s="193"/>
      <c r="V24" s="193"/>
      <c r="W24" s="193"/>
      <c r="X24" s="193"/>
      <c r="Y24" s="193"/>
      <c r="Z24" s="193"/>
      <c r="AA24" s="193"/>
      <c r="AB24" s="193"/>
      <c r="AC24" s="193"/>
      <c r="AD24" s="193"/>
      <c r="AE24" s="193"/>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row>
    <row r="25" spans="1:56" ht="15">
      <c r="A25" s="211"/>
      <c r="B25" s="211"/>
      <c r="C25" s="211"/>
      <c r="D25" s="211"/>
      <c r="E25" s="211"/>
      <c r="F25" s="283"/>
      <c r="G25" s="233"/>
      <c r="H25" s="233"/>
      <c r="K25" s="193"/>
      <c r="L25" s="193"/>
      <c r="M25" s="193"/>
      <c r="N25" s="193"/>
      <c r="O25" s="193"/>
      <c r="P25" s="193"/>
      <c r="Q25" s="193"/>
      <c r="R25" s="193"/>
      <c r="S25" s="193"/>
      <c r="T25" s="193"/>
      <c r="U25" s="193"/>
      <c r="V25" s="193"/>
      <c r="W25" s="193"/>
      <c r="X25" s="193"/>
      <c r="Y25" s="193"/>
      <c r="Z25" s="193"/>
      <c r="AA25" s="193"/>
      <c r="AB25" s="193"/>
      <c r="AC25" s="193"/>
      <c r="AD25" s="193"/>
      <c r="AE25" s="193"/>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row>
    <row r="26" spans="1:56" ht="15">
      <c r="A26" s="211"/>
      <c r="B26" s="211"/>
      <c r="C26" s="211"/>
      <c r="D26" s="211"/>
      <c r="E26" s="211"/>
      <c r="F26" s="283"/>
      <c r="G26" s="233"/>
      <c r="H26" s="233"/>
      <c r="K26" s="193"/>
      <c r="L26" s="193"/>
      <c r="M26" s="193"/>
      <c r="N26" s="193"/>
      <c r="O26" s="193"/>
      <c r="P26" s="193"/>
      <c r="Q26" s="193"/>
      <c r="R26" s="193"/>
      <c r="S26" s="193"/>
      <c r="T26" s="193"/>
      <c r="U26" s="193"/>
      <c r="V26" s="193"/>
      <c r="W26" s="193"/>
      <c r="X26" s="193"/>
      <c r="Y26" s="193"/>
      <c r="Z26" s="193"/>
      <c r="AA26" s="193"/>
      <c r="AB26" s="193"/>
      <c r="AC26" s="193"/>
      <c r="AD26" s="193"/>
      <c r="AE26" s="193"/>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row>
    <row r="27" spans="1:56" ht="15">
      <c r="A27" s="211"/>
      <c r="B27" s="211"/>
      <c r="C27" s="211"/>
      <c r="D27" s="211"/>
      <c r="E27" s="211"/>
      <c r="F27" s="283"/>
      <c r="G27" s="233"/>
      <c r="H27" s="233"/>
      <c r="K27" s="193"/>
      <c r="L27" s="193"/>
      <c r="M27" s="193"/>
      <c r="N27" s="193"/>
      <c r="O27" s="193"/>
      <c r="P27" s="193"/>
      <c r="Q27" s="193"/>
      <c r="R27" s="193"/>
      <c r="S27" s="193"/>
      <c r="T27" s="193"/>
      <c r="U27" s="193"/>
      <c r="V27" s="193"/>
      <c r="W27" s="193"/>
      <c r="X27" s="193"/>
      <c r="Y27" s="193"/>
      <c r="Z27" s="193"/>
      <c r="AA27" s="193"/>
      <c r="AB27" s="193"/>
      <c r="AC27" s="193"/>
      <c r="AD27" s="193"/>
      <c r="AE27" s="193"/>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row>
    <row r="28" spans="1:56" ht="15">
      <c r="A28" s="211"/>
      <c r="B28" s="211"/>
      <c r="C28" s="211"/>
      <c r="D28" s="211"/>
      <c r="E28" s="211"/>
      <c r="F28" s="283"/>
      <c r="G28" s="233"/>
      <c r="H28" s="233"/>
      <c r="K28" s="193"/>
      <c r="L28" s="193"/>
      <c r="M28" s="193"/>
      <c r="N28" s="193"/>
      <c r="O28" s="193"/>
      <c r="P28" s="193"/>
      <c r="Q28" s="193"/>
      <c r="R28" s="193"/>
      <c r="S28" s="193"/>
      <c r="T28" s="193"/>
      <c r="U28" s="193"/>
      <c r="V28" s="193"/>
      <c r="W28" s="193"/>
      <c r="X28" s="193"/>
      <c r="Y28" s="193"/>
      <c r="Z28" s="193"/>
      <c r="AA28" s="193"/>
      <c r="AB28" s="193"/>
      <c r="AC28" s="193"/>
      <c r="AD28" s="193"/>
      <c r="AE28" s="193"/>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row>
    <row r="29" spans="1:56" ht="15">
      <c r="A29" s="211"/>
      <c r="B29" s="211"/>
      <c r="C29" s="211"/>
      <c r="D29" s="211"/>
      <c r="E29" s="211"/>
      <c r="F29" s="283"/>
      <c r="G29" s="233"/>
      <c r="H29" s="233"/>
      <c r="K29" s="193"/>
      <c r="L29" s="193"/>
      <c r="M29" s="193"/>
      <c r="N29" s="193"/>
      <c r="O29" s="193"/>
      <c r="P29" s="193"/>
      <c r="Q29" s="193"/>
      <c r="R29" s="193"/>
      <c r="S29" s="193"/>
      <c r="T29" s="193"/>
      <c r="U29" s="193"/>
      <c r="V29" s="193"/>
      <c r="W29" s="193"/>
      <c r="X29" s="193"/>
      <c r="Y29" s="193"/>
      <c r="Z29" s="193"/>
      <c r="AA29" s="193"/>
      <c r="AB29" s="193"/>
      <c r="AC29" s="193"/>
      <c r="AD29" s="193"/>
      <c r="AE29" s="193"/>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row>
    <row r="30" spans="1:56" ht="15">
      <c r="A30" s="211"/>
      <c r="B30" s="211"/>
      <c r="C30" s="211"/>
      <c r="D30" s="211"/>
      <c r="E30" s="211"/>
      <c r="F30" s="283"/>
      <c r="G30" s="233"/>
      <c r="H30" s="233"/>
      <c r="K30" s="193"/>
      <c r="L30" s="193"/>
      <c r="M30" s="193"/>
      <c r="N30" s="193"/>
      <c r="O30" s="193"/>
      <c r="P30" s="193"/>
      <c r="Q30" s="193"/>
      <c r="R30" s="193"/>
      <c r="S30" s="193"/>
      <c r="T30" s="193"/>
      <c r="U30" s="193"/>
      <c r="V30" s="193"/>
      <c r="W30" s="193"/>
      <c r="X30" s="193"/>
      <c r="Y30" s="193"/>
      <c r="Z30" s="193"/>
      <c r="AA30" s="193"/>
      <c r="AB30" s="193"/>
      <c r="AC30" s="193"/>
      <c r="AD30" s="193"/>
      <c r="AE30" s="193"/>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row>
    <row r="31" spans="1:56" ht="15">
      <c r="A31" s="211"/>
      <c r="B31" s="211"/>
      <c r="C31" s="211"/>
      <c r="D31" s="211"/>
      <c r="E31" s="211"/>
      <c r="F31" s="283"/>
      <c r="G31" s="233"/>
      <c r="H31" s="233"/>
      <c r="K31" s="193"/>
      <c r="L31" s="193"/>
      <c r="M31" s="193"/>
      <c r="N31" s="193"/>
      <c r="O31" s="193"/>
      <c r="P31" s="193"/>
      <c r="Q31" s="193"/>
      <c r="R31" s="193"/>
      <c r="S31" s="193"/>
      <c r="T31" s="193"/>
      <c r="U31" s="193"/>
      <c r="V31" s="193"/>
      <c r="W31" s="193"/>
      <c r="X31" s="193"/>
      <c r="Y31" s="193"/>
      <c r="Z31" s="193"/>
      <c r="AA31" s="193"/>
      <c r="AB31" s="193"/>
      <c r="AC31" s="193"/>
      <c r="AD31" s="193"/>
      <c r="AE31" s="193"/>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row>
    <row r="32" spans="1:56" ht="15">
      <c r="A32" s="211"/>
      <c r="B32" s="211"/>
      <c r="C32" s="211"/>
      <c r="D32" s="211"/>
      <c r="E32" s="211"/>
      <c r="F32" s="283"/>
      <c r="G32" s="233"/>
      <c r="H32" s="233"/>
      <c r="K32" s="193"/>
      <c r="L32" s="193"/>
      <c r="M32" s="193"/>
      <c r="N32" s="193"/>
      <c r="O32" s="193"/>
      <c r="P32" s="193"/>
      <c r="Q32" s="193"/>
      <c r="R32" s="193"/>
      <c r="S32" s="193"/>
      <c r="T32" s="193"/>
      <c r="U32" s="193"/>
      <c r="V32" s="193"/>
      <c r="W32" s="193"/>
      <c r="X32" s="193"/>
      <c r="Y32" s="193"/>
      <c r="Z32" s="193"/>
      <c r="AA32" s="193"/>
      <c r="AB32" s="193"/>
      <c r="AC32" s="193"/>
      <c r="AD32" s="193"/>
      <c r="AE32" s="193"/>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row>
    <row r="33" spans="1:56" ht="15">
      <c r="A33" s="211"/>
      <c r="B33" s="211"/>
      <c r="C33" s="211"/>
      <c r="D33" s="211"/>
      <c r="E33" s="211"/>
      <c r="F33" s="283"/>
      <c r="G33" s="233"/>
      <c r="H33" s="233"/>
      <c r="K33" s="285"/>
      <c r="L33" s="285"/>
      <c r="M33" s="285"/>
      <c r="N33" s="285"/>
      <c r="O33" s="285"/>
      <c r="P33" s="285"/>
      <c r="Q33" s="285"/>
      <c r="R33" s="285"/>
      <c r="S33" s="285"/>
      <c r="T33" s="285"/>
      <c r="U33" s="285"/>
      <c r="V33" s="285"/>
      <c r="W33" s="285"/>
      <c r="X33" s="285"/>
      <c r="Y33" s="285"/>
      <c r="Z33" s="285"/>
      <c r="AA33" s="285"/>
      <c r="AB33" s="285"/>
      <c r="AC33" s="285"/>
      <c r="AD33" s="285"/>
      <c r="AE33" s="285"/>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row>
    <row r="34" spans="1:56" ht="15">
      <c r="A34" s="211"/>
      <c r="B34" s="211"/>
      <c r="C34" s="211"/>
      <c r="D34" s="211"/>
      <c r="E34" s="211"/>
      <c r="F34" s="283"/>
      <c r="G34" s="233"/>
      <c r="H34" s="233"/>
      <c r="K34" s="285"/>
      <c r="L34" s="285"/>
      <c r="M34" s="285"/>
      <c r="N34" s="285"/>
      <c r="O34" s="285"/>
      <c r="P34" s="285"/>
      <c r="Q34" s="285"/>
      <c r="R34" s="285"/>
      <c r="S34" s="285"/>
      <c r="T34" s="285"/>
      <c r="U34" s="285"/>
      <c r="V34" s="285"/>
      <c r="W34" s="285"/>
      <c r="X34" s="285"/>
      <c r="Y34" s="285"/>
      <c r="Z34" s="285"/>
      <c r="AA34" s="285"/>
      <c r="AB34" s="285"/>
      <c r="AC34" s="285"/>
      <c r="AD34" s="285"/>
      <c r="AE34" s="285"/>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row>
    <row r="35" spans="1:56" ht="15">
      <c r="A35" s="211"/>
      <c r="B35" s="211"/>
      <c r="C35" s="211"/>
      <c r="D35" s="211"/>
      <c r="E35" s="211"/>
      <c r="F35" s="283"/>
      <c r="G35" s="233"/>
      <c r="H35" s="233"/>
      <c r="K35" s="285"/>
      <c r="L35" s="285"/>
      <c r="M35" s="285"/>
      <c r="N35" s="285"/>
      <c r="O35" s="285"/>
      <c r="P35" s="285"/>
      <c r="Q35" s="285"/>
      <c r="R35" s="285"/>
      <c r="S35" s="285"/>
      <c r="T35" s="285"/>
      <c r="U35" s="285"/>
      <c r="V35" s="285"/>
      <c r="W35" s="285"/>
      <c r="X35" s="285"/>
      <c r="Y35" s="285"/>
      <c r="Z35" s="285"/>
      <c r="AA35" s="285"/>
      <c r="AB35" s="285"/>
      <c r="AC35" s="285"/>
      <c r="AD35" s="285"/>
      <c r="AE35" s="285"/>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row>
    <row r="36" spans="1:56" ht="15">
      <c r="A36" s="211"/>
      <c r="B36" s="211"/>
      <c r="C36" s="211"/>
      <c r="D36" s="211"/>
      <c r="E36" s="211"/>
      <c r="F36" s="283"/>
      <c r="G36" s="233"/>
      <c r="H36" s="233"/>
      <c r="K36" s="285"/>
      <c r="L36" s="285"/>
      <c r="M36" s="285"/>
      <c r="N36" s="285"/>
      <c r="O36" s="285"/>
      <c r="P36" s="285"/>
      <c r="Q36" s="285"/>
      <c r="R36" s="285"/>
      <c r="S36" s="285"/>
      <c r="T36" s="285"/>
      <c r="U36" s="285"/>
      <c r="V36" s="285"/>
      <c r="W36" s="285"/>
      <c r="X36" s="285"/>
      <c r="Y36" s="285"/>
      <c r="Z36" s="285"/>
      <c r="AA36" s="285"/>
      <c r="AB36" s="285"/>
      <c r="AC36" s="285"/>
      <c r="AD36" s="285"/>
      <c r="AE36" s="285"/>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row>
    <row r="37" spans="1:56" ht="15">
      <c r="A37" s="211"/>
      <c r="B37" s="211"/>
      <c r="C37" s="211"/>
      <c r="D37" s="211"/>
      <c r="E37" s="211"/>
      <c r="F37" s="283"/>
      <c r="G37" s="233"/>
      <c r="H37" s="233"/>
      <c r="K37" s="285"/>
      <c r="L37" s="285"/>
      <c r="M37" s="285"/>
      <c r="N37" s="285"/>
      <c r="O37" s="285"/>
      <c r="P37" s="285"/>
      <c r="Q37" s="285"/>
      <c r="R37" s="285"/>
      <c r="S37" s="285"/>
      <c r="T37" s="285"/>
      <c r="U37" s="285"/>
      <c r="V37" s="285"/>
      <c r="W37" s="285"/>
      <c r="X37" s="285"/>
      <c r="Y37" s="285"/>
      <c r="Z37" s="285"/>
      <c r="AA37" s="285"/>
      <c r="AB37" s="285"/>
      <c r="AC37" s="285"/>
      <c r="AD37" s="285"/>
      <c r="AE37" s="285"/>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row>
    <row r="38" spans="1:56" ht="15">
      <c r="A38" s="211"/>
      <c r="B38" s="211"/>
      <c r="C38" s="211"/>
      <c r="D38" s="211"/>
      <c r="E38" s="211"/>
      <c r="F38" s="283"/>
      <c r="G38" s="233"/>
      <c r="H38" s="233"/>
      <c r="K38" s="285"/>
      <c r="L38" s="285"/>
      <c r="M38" s="285"/>
      <c r="N38" s="285"/>
      <c r="O38" s="285"/>
      <c r="P38" s="285"/>
      <c r="Q38" s="285"/>
      <c r="R38" s="285"/>
      <c r="S38" s="285"/>
      <c r="T38" s="285"/>
      <c r="U38" s="285"/>
      <c r="V38" s="285"/>
      <c r="W38" s="285"/>
      <c r="X38" s="285"/>
      <c r="Y38" s="285"/>
      <c r="Z38" s="285"/>
      <c r="AA38" s="285"/>
      <c r="AB38" s="285"/>
      <c r="AC38" s="285"/>
      <c r="AD38" s="285"/>
      <c r="AE38" s="285"/>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row>
    <row r="39" spans="1:56" ht="15">
      <c r="A39" s="211"/>
      <c r="B39" s="211"/>
      <c r="C39" s="211"/>
      <c r="D39" s="211"/>
      <c r="E39" s="211"/>
      <c r="F39" s="283"/>
      <c r="G39" s="233"/>
      <c r="H39" s="233"/>
      <c r="K39" s="285"/>
      <c r="L39" s="285"/>
      <c r="M39" s="285"/>
      <c r="N39" s="285"/>
      <c r="O39" s="285"/>
      <c r="P39" s="285"/>
      <c r="Q39" s="285"/>
      <c r="R39" s="285"/>
      <c r="S39" s="285"/>
      <c r="T39" s="285"/>
      <c r="U39" s="285"/>
      <c r="V39" s="285"/>
      <c r="W39" s="285"/>
      <c r="X39" s="285"/>
      <c r="Y39" s="285"/>
      <c r="Z39" s="285"/>
      <c r="AA39" s="285"/>
      <c r="AB39" s="285"/>
      <c r="AC39" s="285"/>
      <c r="AD39" s="285"/>
      <c r="AE39" s="285"/>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row>
    <row r="40" spans="1:56" ht="15">
      <c r="A40" s="211"/>
      <c r="B40" s="211"/>
      <c r="C40" s="211"/>
      <c r="D40" s="211"/>
      <c r="E40" s="211"/>
      <c r="F40" s="283"/>
      <c r="G40" s="233"/>
      <c r="H40" s="233"/>
      <c r="K40" s="285"/>
      <c r="L40" s="285"/>
      <c r="M40" s="285"/>
      <c r="N40" s="285"/>
      <c r="O40" s="285"/>
      <c r="P40" s="285"/>
      <c r="Q40" s="285"/>
      <c r="R40" s="285"/>
      <c r="S40" s="285"/>
      <c r="T40" s="285"/>
      <c r="U40" s="285"/>
      <c r="V40" s="285"/>
      <c r="W40" s="285"/>
      <c r="X40" s="285"/>
      <c r="Y40" s="285"/>
      <c r="Z40" s="285"/>
      <c r="AA40" s="285"/>
      <c r="AB40" s="285"/>
      <c r="AC40" s="285"/>
      <c r="AD40" s="285"/>
      <c r="AE40" s="285"/>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row>
    <row r="41" spans="1:56" ht="15">
      <c r="A41" s="211"/>
      <c r="B41" s="211"/>
      <c r="C41" s="211"/>
      <c r="D41" s="211"/>
      <c r="E41" s="211"/>
      <c r="F41" s="283"/>
      <c r="G41" s="233"/>
      <c r="H41" s="233"/>
      <c r="K41" s="285"/>
      <c r="L41" s="285"/>
      <c r="M41" s="285"/>
      <c r="N41" s="285"/>
      <c r="O41" s="285"/>
      <c r="P41" s="285"/>
      <c r="Q41" s="285"/>
      <c r="R41" s="285"/>
      <c r="S41" s="285"/>
      <c r="T41" s="285"/>
      <c r="U41" s="285"/>
      <c r="V41" s="285"/>
      <c r="W41" s="285"/>
      <c r="X41" s="285"/>
      <c r="Y41" s="285"/>
      <c r="Z41" s="285"/>
      <c r="AA41" s="285"/>
      <c r="AB41" s="285"/>
      <c r="AC41" s="285"/>
      <c r="AD41" s="285"/>
      <c r="AE41" s="285"/>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row>
    <row r="42" spans="1:56" ht="15">
      <c r="A42" s="211"/>
      <c r="B42" s="211"/>
      <c r="C42" s="211"/>
      <c r="D42" s="211"/>
      <c r="E42" s="211"/>
      <c r="F42" s="283"/>
      <c r="G42" s="233"/>
      <c r="H42" s="233"/>
      <c r="K42" s="285"/>
      <c r="L42" s="285"/>
      <c r="M42" s="285"/>
      <c r="N42" s="285"/>
      <c r="O42" s="285"/>
      <c r="P42" s="285"/>
      <c r="Q42" s="285"/>
      <c r="R42" s="285"/>
      <c r="S42" s="285"/>
      <c r="T42" s="285"/>
      <c r="U42" s="285"/>
      <c r="V42" s="285"/>
      <c r="W42" s="285"/>
      <c r="X42" s="285"/>
      <c r="Y42" s="285"/>
      <c r="Z42" s="285"/>
      <c r="AA42" s="285"/>
      <c r="AB42" s="285"/>
      <c r="AC42" s="285"/>
      <c r="AD42" s="285"/>
      <c r="AE42" s="285"/>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row>
    <row r="43" spans="1:56" ht="15">
      <c r="A43" s="211"/>
      <c r="B43" s="211"/>
      <c r="C43" s="211"/>
      <c r="D43" s="211"/>
      <c r="E43" s="211"/>
      <c r="F43" s="283"/>
      <c r="G43" s="233"/>
      <c r="H43" s="233"/>
      <c r="K43" s="285"/>
      <c r="L43" s="285"/>
      <c r="M43" s="285"/>
      <c r="N43" s="285"/>
      <c r="O43" s="285"/>
      <c r="P43" s="285"/>
      <c r="Q43" s="285"/>
      <c r="R43" s="285"/>
      <c r="S43" s="285"/>
      <c r="T43" s="285"/>
      <c r="U43" s="285"/>
      <c r="V43" s="285"/>
      <c r="W43" s="285"/>
      <c r="X43" s="285"/>
      <c r="Y43" s="285"/>
      <c r="Z43" s="285"/>
      <c r="AA43" s="285"/>
      <c r="AB43" s="285"/>
      <c r="AC43" s="285"/>
      <c r="AD43" s="285"/>
      <c r="AE43" s="285"/>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row>
    <row r="44" spans="1:56" ht="15">
      <c r="A44" s="211"/>
      <c r="B44" s="211"/>
      <c r="C44" s="211"/>
      <c r="D44" s="211"/>
      <c r="E44" s="211"/>
      <c r="F44" s="283"/>
      <c r="G44" s="233"/>
      <c r="H44" s="233"/>
      <c r="K44" s="285"/>
      <c r="L44" s="285"/>
      <c r="M44" s="285"/>
      <c r="N44" s="285"/>
      <c r="O44" s="285"/>
      <c r="P44" s="285"/>
      <c r="Q44" s="285"/>
      <c r="R44" s="285"/>
      <c r="S44" s="285"/>
      <c r="T44" s="285"/>
      <c r="U44" s="285"/>
      <c r="V44" s="285"/>
      <c r="W44" s="285"/>
      <c r="X44" s="285"/>
      <c r="Y44" s="285"/>
      <c r="Z44" s="285"/>
      <c r="AA44" s="285"/>
      <c r="AB44" s="285"/>
      <c r="AC44" s="285"/>
      <c r="AD44" s="285"/>
      <c r="AE44" s="285"/>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row>
    <row r="45" spans="1:56" ht="15">
      <c r="A45" s="211"/>
      <c r="B45" s="211"/>
      <c r="C45" s="211"/>
      <c r="D45" s="211"/>
      <c r="E45" s="211"/>
      <c r="F45" s="283"/>
      <c r="G45" s="233"/>
      <c r="H45" s="233"/>
      <c r="K45" s="193"/>
      <c r="L45" s="193"/>
      <c r="M45" s="193"/>
      <c r="N45" s="193"/>
      <c r="O45" s="193"/>
      <c r="P45" s="193"/>
      <c r="Q45" s="193"/>
      <c r="R45" s="193"/>
      <c r="S45" s="193"/>
      <c r="T45" s="193"/>
      <c r="U45" s="193"/>
      <c r="V45" s="193"/>
      <c r="W45" s="193"/>
      <c r="X45" s="193"/>
      <c r="Y45" s="193"/>
      <c r="Z45" s="193"/>
      <c r="AA45" s="193"/>
      <c r="AB45" s="193"/>
      <c r="AC45" s="193"/>
      <c r="AD45" s="193"/>
      <c r="AE45" s="193"/>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row>
    <row r="46" spans="1:56" ht="15">
      <c r="A46" s="211"/>
      <c r="B46" s="211"/>
      <c r="C46" s="211"/>
      <c r="D46" s="211"/>
      <c r="E46" s="211"/>
      <c r="F46" s="283"/>
      <c r="G46" s="233"/>
      <c r="H46" s="233"/>
      <c r="K46" s="193"/>
      <c r="L46" s="193"/>
      <c r="M46" s="193"/>
      <c r="N46" s="193"/>
      <c r="O46" s="193"/>
      <c r="P46" s="193"/>
      <c r="Q46" s="193"/>
      <c r="R46" s="193"/>
      <c r="S46" s="193"/>
      <c r="T46" s="193"/>
      <c r="U46" s="193"/>
      <c r="V46" s="193"/>
      <c r="W46" s="193"/>
      <c r="X46" s="193"/>
      <c r="Y46" s="193"/>
      <c r="Z46" s="193"/>
      <c r="AA46" s="193"/>
      <c r="AB46" s="193"/>
      <c r="AC46" s="193"/>
      <c r="AD46" s="193"/>
      <c r="AE46" s="193"/>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row>
    <row r="47" spans="1:56" ht="15">
      <c r="A47" s="211"/>
      <c r="B47" s="211"/>
      <c r="C47" s="211"/>
      <c r="D47" s="211"/>
      <c r="E47" s="211"/>
      <c r="F47" s="283"/>
      <c r="G47" s="233"/>
      <c r="H47" s="233"/>
      <c r="K47" s="193"/>
      <c r="L47" s="193"/>
      <c r="M47" s="193"/>
      <c r="N47" s="193"/>
      <c r="O47" s="193"/>
      <c r="P47" s="193"/>
      <c r="Q47" s="193"/>
      <c r="R47" s="193"/>
      <c r="S47" s="193"/>
      <c r="T47" s="193"/>
      <c r="U47" s="193"/>
      <c r="V47" s="193"/>
      <c r="W47" s="193"/>
      <c r="X47" s="193"/>
      <c r="Y47" s="193"/>
      <c r="Z47" s="193"/>
      <c r="AA47" s="193"/>
      <c r="AB47" s="193"/>
      <c r="AC47" s="193"/>
      <c r="AD47" s="193"/>
      <c r="AE47" s="193"/>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row>
    <row r="48" spans="1:56" ht="15">
      <c r="A48" s="211"/>
      <c r="B48" s="211"/>
      <c r="C48" s="211"/>
      <c r="D48" s="211"/>
      <c r="E48" s="211"/>
      <c r="F48" s="283"/>
      <c r="G48" s="233"/>
      <c r="H48" s="233"/>
      <c r="K48" s="193"/>
      <c r="L48" s="193"/>
      <c r="M48" s="193"/>
      <c r="N48" s="193"/>
      <c r="O48" s="193"/>
      <c r="P48" s="193"/>
      <c r="Q48" s="193"/>
      <c r="R48" s="193"/>
      <c r="S48" s="193"/>
      <c r="T48" s="193"/>
      <c r="U48" s="193"/>
      <c r="V48" s="193"/>
      <c r="W48" s="193"/>
      <c r="X48" s="193"/>
      <c r="Y48" s="193"/>
      <c r="Z48" s="193"/>
      <c r="AA48" s="193"/>
      <c r="AB48" s="193"/>
      <c r="AC48" s="193"/>
      <c r="AD48" s="193"/>
      <c r="AE48" s="193"/>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row>
    <row r="49" spans="1:56" ht="15">
      <c r="A49" s="211"/>
      <c r="B49" s="211"/>
      <c r="C49" s="211"/>
      <c r="D49" s="211"/>
      <c r="E49" s="211"/>
      <c r="F49" s="283"/>
      <c r="G49" s="233"/>
      <c r="H49" s="233"/>
      <c r="K49" s="193"/>
      <c r="L49" s="193"/>
      <c r="M49" s="193"/>
      <c r="N49" s="193"/>
      <c r="O49" s="193"/>
      <c r="P49" s="193"/>
      <c r="Q49" s="193"/>
      <c r="R49" s="193"/>
      <c r="S49" s="193"/>
      <c r="T49" s="193"/>
      <c r="U49" s="193"/>
      <c r="V49" s="193"/>
      <c r="W49" s="193"/>
      <c r="X49" s="193"/>
      <c r="Y49" s="193"/>
      <c r="Z49" s="193"/>
      <c r="AA49" s="193"/>
      <c r="AB49" s="193"/>
      <c r="AC49" s="193"/>
      <c r="AD49" s="193"/>
      <c r="AE49" s="193"/>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row>
    <row r="50" spans="1:56" ht="15">
      <c r="A50" s="211"/>
      <c r="B50" s="211"/>
      <c r="C50" s="211"/>
      <c r="D50" s="211"/>
      <c r="E50" s="211"/>
      <c r="F50" s="283"/>
      <c r="G50" s="233"/>
      <c r="H50" s="233"/>
      <c r="K50" s="193"/>
      <c r="L50" s="193"/>
      <c r="M50" s="193"/>
      <c r="N50" s="193"/>
      <c r="O50" s="193"/>
      <c r="P50" s="193"/>
      <c r="Q50" s="193"/>
      <c r="R50" s="193"/>
      <c r="S50" s="193"/>
      <c r="T50" s="193"/>
      <c r="U50" s="193"/>
      <c r="V50" s="193"/>
      <c r="W50" s="193"/>
      <c r="X50" s="193"/>
      <c r="Y50" s="193"/>
      <c r="Z50" s="193"/>
      <c r="AA50" s="193"/>
      <c r="AB50" s="193"/>
      <c r="AC50" s="193"/>
      <c r="AD50" s="193"/>
      <c r="AE50" s="193"/>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row>
    <row r="51" spans="1:56" ht="15">
      <c r="A51" s="211"/>
      <c r="B51" s="211"/>
      <c r="C51" s="211"/>
      <c r="D51" s="211"/>
      <c r="E51" s="211"/>
      <c r="F51" s="283"/>
      <c r="G51" s="233"/>
      <c r="H51" s="233"/>
      <c r="K51" s="193"/>
      <c r="L51" s="193"/>
      <c r="M51" s="193"/>
      <c r="N51" s="193"/>
      <c r="O51" s="193"/>
      <c r="P51" s="193"/>
      <c r="Q51" s="193"/>
      <c r="R51" s="193"/>
      <c r="S51" s="193"/>
      <c r="T51" s="193"/>
      <c r="U51" s="193"/>
      <c r="V51" s="193"/>
      <c r="W51" s="193"/>
      <c r="X51" s="193"/>
      <c r="Y51" s="193"/>
      <c r="Z51" s="193"/>
      <c r="AA51" s="193"/>
      <c r="AB51" s="193"/>
      <c r="AC51" s="193"/>
      <c r="AD51" s="193"/>
      <c r="AE51" s="193"/>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row>
    <row r="52" spans="1:56" ht="15">
      <c r="A52" s="211"/>
      <c r="B52" s="211"/>
      <c r="C52" s="211"/>
      <c r="D52" s="211"/>
      <c r="E52" s="211"/>
      <c r="F52" s="283"/>
      <c r="G52" s="233"/>
      <c r="H52" s="233"/>
      <c r="K52" s="193"/>
      <c r="L52" s="193"/>
      <c r="M52" s="193"/>
      <c r="N52" s="193"/>
      <c r="O52" s="193"/>
      <c r="P52" s="193"/>
      <c r="Q52" s="193"/>
      <c r="R52" s="193"/>
      <c r="S52" s="193"/>
      <c r="T52" s="193"/>
      <c r="U52" s="193"/>
      <c r="V52" s="193"/>
      <c r="W52" s="193"/>
      <c r="X52" s="193"/>
      <c r="Y52" s="193"/>
      <c r="Z52" s="193"/>
      <c r="AA52" s="193"/>
      <c r="AB52" s="193"/>
      <c r="AC52" s="193"/>
      <c r="AD52" s="193"/>
      <c r="AE52" s="193"/>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row>
    <row r="53" spans="1:56" ht="15">
      <c r="A53" s="211"/>
      <c r="B53" s="211"/>
      <c r="C53" s="211"/>
      <c r="D53" s="211"/>
      <c r="E53" s="211"/>
      <c r="F53" s="283"/>
      <c r="G53" s="233"/>
      <c r="H53" s="233"/>
      <c r="K53" s="193"/>
      <c r="L53" s="193"/>
      <c r="M53" s="193"/>
      <c r="N53" s="193"/>
      <c r="O53" s="193"/>
      <c r="P53" s="193"/>
      <c r="Q53" s="193"/>
      <c r="R53" s="193"/>
      <c r="S53" s="193"/>
      <c r="T53" s="193"/>
      <c r="U53" s="193"/>
      <c r="V53" s="193"/>
      <c r="W53" s="193"/>
      <c r="X53" s="193"/>
      <c r="Y53" s="193"/>
      <c r="Z53" s="193"/>
      <c r="AA53" s="193"/>
      <c r="AB53" s="193"/>
      <c r="AC53" s="193"/>
      <c r="AD53" s="193"/>
      <c r="AE53" s="193"/>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row>
    <row r="54" spans="1:56" ht="15">
      <c r="A54" s="211"/>
      <c r="B54" s="211"/>
      <c r="C54" s="211"/>
      <c r="D54" s="211"/>
      <c r="E54" s="211"/>
      <c r="F54" s="283"/>
      <c r="G54" s="233"/>
      <c r="H54" s="233"/>
      <c r="K54" s="193"/>
      <c r="L54" s="193"/>
      <c r="M54" s="193"/>
      <c r="N54" s="193"/>
      <c r="O54" s="193"/>
      <c r="P54" s="193"/>
      <c r="Q54" s="193"/>
      <c r="R54" s="193"/>
      <c r="S54" s="193"/>
      <c r="T54" s="193"/>
      <c r="U54" s="193"/>
      <c r="V54" s="193"/>
      <c r="W54" s="193"/>
      <c r="X54" s="193"/>
      <c r="Y54" s="193"/>
      <c r="Z54" s="193"/>
      <c r="AA54" s="193"/>
      <c r="AB54" s="193"/>
      <c r="AC54" s="193"/>
      <c r="AD54" s="193"/>
      <c r="AE54" s="193"/>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row>
    <row r="55" spans="1:56" ht="15">
      <c r="A55" s="211"/>
      <c r="B55" s="211"/>
      <c r="C55" s="211"/>
      <c r="D55" s="211"/>
      <c r="E55" s="211"/>
      <c r="F55" s="283"/>
      <c r="G55" s="233"/>
      <c r="H55" s="233"/>
      <c r="K55" s="193"/>
      <c r="L55" s="193"/>
      <c r="M55" s="193"/>
      <c r="N55" s="193"/>
      <c r="O55" s="193"/>
      <c r="P55" s="193"/>
      <c r="Q55" s="193"/>
      <c r="R55" s="193"/>
      <c r="S55" s="193"/>
      <c r="T55" s="193"/>
      <c r="U55" s="193"/>
      <c r="V55" s="193"/>
      <c r="W55" s="193"/>
      <c r="X55" s="193"/>
      <c r="Y55" s="193"/>
      <c r="Z55" s="193"/>
      <c r="AA55" s="193"/>
      <c r="AB55" s="193"/>
      <c r="AC55" s="193"/>
      <c r="AD55" s="193"/>
      <c r="AE55" s="193"/>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row>
    <row r="56" spans="1:56" ht="15">
      <c r="A56" s="211"/>
      <c r="B56" s="211"/>
      <c r="C56" s="211"/>
      <c r="D56" s="211"/>
      <c r="E56" s="211"/>
      <c r="F56" s="283"/>
      <c r="G56" s="233"/>
      <c r="H56" s="233"/>
      <c r="K56" s="193"/>
      <c r="L56" s="193"/>
      <c r="M56" s="193"/>
      <c r="N56" s="193"/>
      <c r="O56" s="193"/>
      <c r="P56" s="193"/>
      <c r="Q56" s="193"/>
      <c r="R56" s="193"/>
      <c r="S56" s="193"/>
      <c r="T56" s="193"/>
      <c r="U56" s="193"/>
      <c r="V56" s="193"/>
      <c r="W56" s="193"/>
      <c r="X56" s="193"/>
      <c r="Y56" s="193"/>
      <c r="Z56" s="193"/>
      <c r="AA56" s="193"/>
      <c r="AB56" s="193"/>
      <c r="AC56" s="193"/>
      <c r="AD56" s="193"/>
      <c r="AE56" s="193"/>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row>
    <row r="57" spans="1:56" ht="15">
      <c r="A57" s="211"/>
      <c r="B57" s="211"/>
      <c r="C57" s="211"/>
      <c r="D57" s="211"/>
      <c r="E57" s="211"/>
      <c r="F57" s="283"/>
      <c r="G57" s="233"/>
      <c r="H57" s="233"/>
      <c r="K57" s="193"/>
      <c r="L57" s="193"/>
      <c r="M57" s="193"/>
      <c r="N57" s="193"/>
      <c r="O57" s="193"/>
      <c r="P57" s="193"/>
      <c r="Q57" s="193"/>
      <c r="R57" s="193"/>
      <c r="S57" s="193"/>
      <c r="T57" s="193"/>
      <c r="U57" s="193"/>
      <c r="V57" s="193"/>
      <c r="W57" s="193"/>
      <c r="X57" s="193"/>
      <c r="Y57" s="193"/>
      <c r="Z57" s="193"/>
      <c r="AA57" s="193"/>
      <c r="AB57" s="193"/>
      <c r="AC57" s="193"/>
      <c r="AD57" s="193"/>
      <c r="AE57" s="193"/>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row>
    <row r="58" spans="1:56" ht="15">
      <c r="A58" s="211"/>
      <c r="B58" s="211"/>
      <c r="C58" s="211"/>
      <c r="D58" s="211"/>
      <c r="E58" s="211"/>
      <c r="F58" s="283"/>
      <c r="G58" s="233"/>
      <c r="H58" s="233"/>
      <c r="K58" s="193"/>
      <c r="L58" s="193"/>
      <c r="M58" s="193"/>
      <c r="N58" s="193"/>
      <c r="O58" s="193"/>
      <c r="P58" s="193"/>
      <c r="Q58" s="193"/>
      <c r="R58" s="193"/>
      <c r="S58" s="193"/>
      <c r="T58" s="193"/>
      <c r="U58" s="193"/>
      <c r="V58" s="193"/>
      <c r="W58" s="193"/>
      <c r="X58" s="193"/>
      <c r="Y58" s="193"/>
      <c r="Z58" s="193"/>
      <c r="AA58" s="193"/>
      <c r="AB58" s="193"/>
      <c r="AC58" s="193"/>
      <c r="AD58" s="193"/>
      <c r="AE58" s="193"/>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row>
    <row r="59" spans="1:56" ht="15">
      <c r="A59" s="211"/>
      <c r="B59" s="211"/>
      <c r="C59" s="211"/>
      <c r="D59" s="211"/>
      <c r="E59" s="211"/>
      <c r="F59" s="283"/>
      <c r="G59" s="233"/>
      <c r="H59" s="233"/>
      <c r="K59" s="285"/>
      <c r="L59" s="285"/>
      <c r="M59" s="285"/>
      <c r="N59" s="285"/>
      <c r="O59" s="285"/>
      <c r="P59" s="285"/>
      <c r="Q59" s="285"/>
      <c r="R59" s="285"/>
      <c r="S59" s="285"/>
      <c r="T59" s="285"/>
      <c r="U59" s="285"/>
      <c r="V59" s="285"/>
      <c r="W59" s="285"/>
      <c r="X59" s="285"/>
      <c r="Y59" s="285"/>
      <c r="Z59" s="285"/>
      <c r="AA59" s="285"/>
      <c r="AB59" s="285"/>
      <c r="AC59" s="285"/>
      <c r="AD59" s="285"/>
      <c r="AE59" s="285"/>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row>
    <row r="60" spans="1:56" ht="15">
      <c r="A60" s="211"/>
      <c r="B60" s="211"/>
      <c r="C60" s="211"/>
      <c r="D60" s="211"/>
      <c r="E60" s="211"/>
      <c r="F60" s="283"/>
      <c r="G60" s="233"/>
      <c r="H60" s="233"/>
      <c r="K60" s="285"/>
      <c r="L60" s="285"/>
      <c r="M60" s="285"/>
      <c r="N60" s="285"/>
      <c r="O60" s="285"/>
      <c r="P60" s="285"/>
      <c r="Q60" s="285"/>
      <c r="R60" s="285"/>
      <c r="S60" s="285"/>
      <c r="T60" s="285"/>
      <c r="U60" s="285"/>
      <c r="V60" s="285"/>
      <c r="W60" s="285"/>
      <c r="X60" s="285"/>
      <c r="Y60" s="285"/>
      <c r="Z60" s="285"/>
      <c r="AA60" s="285"/>
      <c r="AB60" s="285"/>
      <c r="AC60" s="285"/>
      <c r="AD60" s="285"/>
      <c r="AE60" s="285"/>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row>
    <row r="61" spans="1:56" ht="15">
      <c r="A61" s="211"/>
      <c r="B61" s="211"/>
      <c r="C61" s="211"/>
      <c r="D61" s="211"/>
      <c r="E61" s="211"/>
      <c r="F61" s="283"/>
      <c r="G61" s="233"/>
      <c r="H61" s="233"/>
      <c r="K61" s="285"/>
      <c r="L61" s="285"/>
      <c r="M61" s="285"/>
      <c r="N61" s="285"/>
      <c r="O61" s="285"/>
      <c r="P61" s="285"/>
      <c r="Q61" s="285"/>
      <c r="R61" s="285"/>
      <c r="S61" s="285"/>
      <c r="T61" s="285"/>
      <c r="U61" s="285"/>
      <c r="V61" s="285"/>
      <c r="W61" s="285"/>
      <c r="X61" s="285"/>
      <c r="Y61" s="285"/>
      <c r="Z61" s="285"/>
      <c r="AA61" s="285"/>
      <c r="AB61" s="285"/>
      <c r="AC61" s="285"/>
      <c r="AD61" s="285"/>
      <c r="AE61" s="285"/>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row>
    <row r="62" spans="1:56" ht="15">
      <c r="A62" s="211"/>
      <c r="B62" s="211"/>
      <c r="C62" s="211"/>
      <c r="D62" s="211"/>
      <c r="E62" s="211"/>
      <c r="F62" s="283"/>
      <c r="G62" s="233"/>
      <c r="H62" s="233"/>
      <c r="K62" s="285"/>
      <c r="L62" s="285"/>
      <c r="M62" s="285"/>
      <c r="N62" s="285"/>
      <c r="O62" s="285"/>
      <c r="P62" s="285"/>
      <c r="Q62" s="285"/>
      <c r="R62" s="285"/>
      <c r="S62" s="285"/>
      <c r="T62" s="285"/>
      <c r="U62" s="285"/>
      <c r="V62" s="285"/>
      <c r="W62" s="285"/>
      <c r="X62" s="285"/>
      <c r="Y62" s="285"/>
      <c r="Z62" s="285"/>
      <c r="AA62" s="285"/>
      <c r="AB62" s="285"/>
      <c r="AC62" s="285"/>
      <c r="AD62" s="285"/>
      <c r="AE62" s="285"/>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row>
    <row r="63" spans="1:56" ht="15">
      <c r="A63" s="211"/>
      <c r="B63" s="211"/>
      <c r="C63" s="211"/>
      <c r="D63" s="211"/>
      <c r="E63" s="211"/>
      <c r="F63" s="283"/>
      <c r="G63" s="233"/>
      <c r="H63" s="233"/>
      <c r="I63" s="182"/>
      <c r="J63" s="182"/>
      <c r="K63" s="193"/>
      <c r="L63" s="193"/>
      <c r="M63" s="193"/>
      <c r="N63" s="193"/>
      <c r="O63" s="193"/>
      <c r="P63" s="193"/>
      <c r="Q63" s="193"/>
      <c r="R63" s="193"/>
      <c r="S63" s="193"/>
      <c r="T63" s="193"/>
      <c r="U63" s="193"/>
      <c r="V63" s="193"/>
      <c r="W63" s="193"/>
      <c r="X63" s="193"/>
      <c r="Y63" s="193"/>
      <c r="Z63" s="193"/>
      <c r="AA63" s="193"/>
      <c r="AB63" s="193"/>
      <c r="AC63" s="193"/>
      <c r="AD63" s="193"/>
      <c r="AE63" s="193"/>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row>
    <row r="64" spans="1:56" ht="15">
      <c r="A64" s="211"/>
      <c r="B64" s="211"/>
      <c r="C64" s="211"/>
      <c r="D64" s="211"/>
      <c r="E64" s="211"/>
      <c r="F64" s="283"/>
      <c r="G64" s="233"/>
      <c r="H64" s="233"/>
      <c r="I64" s="182"/>
      <c r="J64" s="182"/>
      <c r="K64" s="193"/>
      <c r="L64" s="193"/>
      <c r="M64" s="193"/>
      <c r="N64" s="193"/>
      <c r="O64" s="193"/>
      <c r="P64" s="193"/>
      <c r="Q64" s="193"/>
      <c r="R64" s="193"/>
      <c r="S64" s="193"/>
      <c r="T64" s="193"/>
      <c r="U64" s="193"/>
      <c r="V64" s="193"/>
      <c r="W64" s="193"/>
      <c r="X64" s="193"/>
      <c r="Y64" s="193"/>
      <c r="Z64" s="193"/>
      <c r="AA64" s="193"/>
      <c r="AB64" s="193"/>
      <c r="AC64" s="193"/>
      <c r="AD64" s="193"/>
      <c r="AE64" s="193"/>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row>
    <row r="65" spans="1:56" ht="15">
      <c r="A65" s="211"/>
      <c r="B65" s="211"/>
      <c r="C65" s="211"/>
      <c r="D65" s="211"/>
      <c r="E65" s="211"/>
      <c r="F65" s="283"/>
      <c r="G65" s="233"/>
      <c r="H65" s="233"/>
      <c r="I65" s="182"/>
      <c r="J65" s="182"/>
      <c r="K65" s="193"/>
      <c r="L65" s="193"/>
      <c r="M65" s="193"/>
      <c r="N65" s="193"/>
      <c r="O65" s="193"/>
      <c r="P65" s="193"/>
      <c r="Q65" s="193"/>
      <c r="R65" s="193"/>
      <c r="S65" s="193"/>
      <c r="T65" s="193"/>
      <c r="U65" s="193"/>
      <c r="V65" s="193"/>
      <c r="W65" s="193"/>
      <c r="X65" s="193"/>
      <c r="Y65" s="193"/>
      <c r="Z65" s="193"/>
      <c r="AA65" s="193"/>
      <c r="AB65" s="193"/>
      <c r="AC65" s="193"/>
      <c r="AD65" s="193"/>
      <c r="AE65" s="193"/>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row>
    <row r="66" spans="1:56" ht="15">
      <c r="A66" s="211"/>
      <c r="B66" s="211"/>
      <c r="C66" s="211"/>
      <c r="D66" s="211"/>
      <c r="E66" s="211"/>
      <c r="F66" s="283"/>
      <c r="G66" s="233"/>
      <c r="H66" s="233"/>
      <c r="I66" s="182"/>
      <c r="J66" s="182"/>
      <c r="K66" s="193"/>
      <c r="L66" s="193"/>
      <c r="M66" s="193"/>
      <c r="N66" s="193"/>
      <c r="O66" s="193"/>
      <c r="P66" s="193"/>
      <c r="Q66" s="193"/>
      <c r="R66" s="193"/>
      <c r="S66" s="193"/>
      <c r="T66" s="193"/>
      <c r="U66" s="193"/>
      <c r="V66" s="193"/>
      <c r="W66" s="193"/>
      <c r="X66" s="193"/>
      <c r="Y66" s="193"/>
      <c r="Z66" s="193"/>
      <c r="AA66" s="193"/>
      <c r="AB66" s="193"/>
      <c r="AC66" s="193"/>
      <c r="AD66" s="193"/>
      <c r="AE66" s="193"/>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row>
    <row r="67" spans="1:56" ht="15">
      <c r="A67" s="211"/>
      <c r="B67" s="211"/>
      <c r="C67" s="211"/>
      <c r="D67" s="211"/>
      <c r="E67" s="211"/>
      <c r="F67" s="283"/>
      <c r="G67" s="233"/>
      <c r="H67" s="233"/>
      <c r="K67" s="285"/>
      <c r="L67" s="285"/>
      <c r="M67" s="285"/>
      <c r="N67" s="285"/>
      <c r="O67" s="285"/>
      <c r="P67" s="285"/>
      <c r="Q67" s="285"/>
      <c r="R67" s="285"/>
      <c r="S67" s="285"/>
      <c r="T67" s="285"/>
      <c r="U67" s="285"/>
      <c r="V67" s="285"/>
      <c r="W67" s="285"/>
      <c r="X67" s="285"/>
      <c r="Y67" s="285"/>
      <c r="Z67" s="285"/>
      <c r="AA67" s="285"/>
      <c r="AB67" s="285"/>
      <c r="AC67" s="285"/>
      <c r="AD67" s="285"/>
      <c r="AE67" s="285"/>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row>
    <row r="68" spans="1:56" ht="15">
      <c r="A68" s="211"/>
      <c r="B68" s="211"/>
      <c r="C68" s="211"/>
      <c r="D68" s="211"/>
      <c r="E68" s="211"/>
      <c r="F68" s="283"/>
      <c r="G68" s="233"/>
      <c r="H68" s="233"/>
      <c r="K68" s="285"/>
      <c r="L68" s="285"/>
      <c r="M68" s="285"/>
      <c r="N68" s="285"/>
      <c r="O68" s="285"/>
      <c r="P68" s="285"/>
      <c r="Q68" s="285"/>
      <c r="R68" s="285"/>
      <c r="S68" s="285"/>
      <c r="T68" s="285"/>
      <c r="U68" s="285"/>
      <c r="V68" s="285"/>
      <c r="W68" s="285"/>
      <c r="X68" s="285"/>
      <c r="Y68" s="285"/>
      <c r="Z68" s="285"/>
      <c r="AA68" s="285"/>
      <c r="AB68" s="285"/>
      <c r="AC68" s="285"/>
      <c r="AD68" s="285"/>
      <c r="AE68" s="285"/>
      <c r="AF68" s="284"/>
      <c r="AG68" s="284"/>
      <c r="AH68" s="284"/>
      <c r="AI68" s="284"/>
      <c r="AJ68" s="284"/>
      <c r="AK68" s="284"/>
      <c r="AL68" s="284"/>
      <c r="AM68" s="284"/>
      <c r="AN68" s="284"/>
      <c r="AO68" s="284"/>
      <c r="AP68" s="284"/>
      <c r="AQ68" s="284"/>
      <c r="AR68" s="284"/>
      <c r="AS68" s="284"/>
      <c r="AT68" s="284"/>
      <c r="AU68" s="284"/>
      <c r="AV68" s="284"/>
      <c r="AW68" s="284"/>
      <c r="AX68" s="284"/>
      <c r="AY68" s="284"/>
      <c r="AZ68" s="284"/>
      <c r="BA68" s="284"/>
      <c r="BB68" s="284"/>
      <c r="BC68" s="284"/>
      <c r="BD68" s="284"/>
    </row>
    <row r="69" spans="1:56" ht="15">
      <c r="A69" s="211"/>
      <c r="B69" s="211"/>
      <c r="C69" s="211"/>
      <c r="D69" s="211"/>
      <c r="E69" s="211"/>
      <c r="F69" s="283"/>
      <c r="G69" s="233"/>
      <c r="H69" s="233"/>
      <c r="K69" s="285"/>
      <c r="L69" s="285"/>
      <c r="M69" s="285"/>
      <c r="N69" s="285"/>
      <c r="O69" s="285"/>
      <c r="P69" s="285"/>
      <c r="Q69" s="285"/>
      <c r="R69" s="285"/>
      <c r="S69" s="285"/>
      <c r="T69" s="285"/>
      <c r="U69" s="285"/>
      <c r="V69" s="285"/>
      <c r="W69" s="285"/>
      <c r="X69" s="285"/>
      <c r="Y69" s="285"/>
      <c r="Z69" s="285"/>
      <c r="AA69" s="285"/>
      <c r="AB69" s="285"/>
      <c r="AC69" s="285"/>
      <c r="AD69" s="285"/>
      <c r="AE69" s="285"/>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row>
    <row r="70" spans="1:56" ht="15">
      <c r="A70" s="211"/>
      <c r="B70" s="211"/>
      <c r="C70" s="211"/>
      <c r="D70" s="211"/>
      <c r="E70" s="211"/>
      <c r="F70" s="283"/>
      <c r="G70" s="233"/>
      <c r="H70" s="233"/>
      <c r="K70" s="285"/>
      <c r="L70" s="285"/>
      <c r="M70" s="285"/>
      <c r="N70" s="285"/>
      <c r="O70" s="285"/>
      <c r="P70" s="285"/>
      <c r="Q70" s="285"/>
      <c r="R70" s="285"/>
      <c r="S70" s="285"/>
      <c r="T70" s="285"/>
      <c r="U70" s="285"/>
      <c r="V70" s="285"/>
      <c r="W70" s="285"/>
      <c r="X70" s="285"/>
      <c r="Y70" s="285"/>
      <c r="Z70" s="285"/>
      <c r="AA70" s="285"/>
      <c r="AB70" s="285"/>
      <c r="AC70" s="285"/>
      <c r="AD70" s="285"/>
      <c r="AE70" s="285"/>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row>
    <row r="71" spans="1:56" ht="15">
      <c r="A71" s="211"/>
      <c r="B71" s="211"/>
      <c r="C71" s="211"/>
      <c r="D71" s="211"/>
      <c r="E71" s="211"/>
      <c r="F71" s="283"/>
      <c r="G71" s="233"/>
      <c r="H71" s="233"/>
      <c r="K71" s="285"/>
      <c r="L71" s="285"/>
      <c r="M71" s="285"/>
      <c r="N71" s="285"/>
      <c r="O71" s="285"/>
      <c r="P71" s="285"/>
      <c r="Q71" s="285"/>
      <c r="R71" s="285"/>
      <c r="S71" s="285"/>
      <c r="T71" s="285"/>
      <c r="U71" s="285"/>
      <c r="V71" s="285"/>
      <c r="W71" s="285"/>
      <c r="X71" s="285"/>
      <c r="Y71" s="285"/>
      <c r="Z71" s="285"/>
      <c r="AA71" s="285"/>
      <c r="AB71" s="285"/>
      <c r="AC71" s="285"/>
      <c r="AD71" s="285"/>
      <c r="AE71" s="285"/>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row>
    <row r="72" spans="1:56" ht="15">
      <c r="A72" s="211"/>
      <c r="B72" s="211"/>
      <c r="C72" s="211"/>
      <c r="D72" s="211"/>
      <c r="E72" s="211"/>
      <c r="F72" s="283"/>
      <c r="G72" s="233"/>
      <c r="H72" s="233"/>
      <c r="K72" s="285"/>
      <c r="L72" s="285"/>
      <c r="M72" s="285"/>
      <c r="N72" s="285"/>
      <c r="O72" s="285"/>
      <c r="P72" s="285"/>
      <c r="Q72" s="285"/>
      <c r="R72" s="285"/>
      <c r="S72" s="285"/>
      <c r="T72" s="285"/>
      <c r="U72" s="285"/>
      <c r="V72" s="285"/>
      <c r="W72" s="285"/>
      <c r="X72" s="285"/>
      <c r="Y72" s="285"/>
      <c r="Z72" s="285"/>
      <c r="AA72" s="285"/>
      <c r="AB72" s="285"/>
      <c r="AC72" s="285"/>
      <c r="AD72" s="285"/>
      <c r="AE72" s="285"/>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row>
    <row r="73" spans="1:56" ht="15">
      <c r="A73" s="211"/>
      <c r="B73" s="211"/>
      <c r="C73" s="211"/>
      <c r="D73" s="211"/>
      <c r="E73" s="211"/>
      <c r="F73" s="283"/>
      <c r="G73" s="233"/>
      <c r="H73" s="233"/>
      <c r="K73" s="285"/>
      <c r="L73" s="285"/>
      <c r="M73" s="285"/>
      <c r="N73" s="285"/>
      <c r="O73" s="285"/>
      <c r="P73" s="285"/>
      <c r="Q73" s="285"/>
      <c r="R73" s="285"/>
      <c r="S73" s="285"/>
      <c r="T73" s="285"/>
      <c r="U73" s="285"/>
      <c r="V73" s="285"/>
      <c r="W73" s="285"/>
      <c r="X73" s="285"/>
      <c r="Y73" s="285"/>
      <c r="Z73" s="285"/>
      <c r="AA73" s="285"/>
      <c r="AB73" s="285"/>
      <c r="AC73" s="285"/>
      <c r="AD73" s="285"/>
      <c r="AE73" s="285"/>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row>
    <row r="74" spans="1:56" ht="15">
      <c r="A74" s="211"/>
      <c r="B74" s="211"/>
      <c r="C74" s="211"/>
      <c r="D74" s="211"/>
      <c r="E74" s="211"/>
      <c r="F74" s="283"/>
      <c r="G74" s="233"/>
      <c r="H74" s="233"/>
      <c r="K74" s="285"/>
      <c r="L74" s="285"/>
      <c r="M74" s="285"/>
      <c r="N74" s="285"/>
      <c r="O74" s="285"/>
      <c r="P74" s="285"/>
      <c r="Q74" s="285"/>
      <c r="R74" s="285"/>
      <c r="S74" s="285"/>
      <c r="T74" s="285"/>
      <c r="U74" s="285"/>
      <c r="V74" s="285"/>
      <c r="W74" s="285"/>
      <c r="X74" s="285"/>
      <c r="Y74" s="285"/>
      <c r="Z74" s="285"/>
      <c r="AA74" s="285"/>
      <c r="AB74" s="285"/>
      <c r="AC74" s="285"/>
      <c r="AD74" s="285"/>
      <c r="AE74" s="285"/>
      <c r="AF74" s="284"/>
      <c r="AG74" s="284"/>
      <c r="AH74" s="284"/>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row>
    <row r="75" spans="1:56" ht="15">
      <c r="A75" s="211"/>
      <c r="B75" s="211"/>
      <c r="C75" s="211"/>
      <c r="D75" s="211"/>
      <c r="E75" s="211"/>
      <c r="F75" s="283"/>
      <c r="G75" s="233"/>
      <c r="H75" s="233"/>
      <c r="K75" s="285"/>
      <c r="L75" s="285"/>
      <c r="M75" s="285"/>
      <c r="N75" s="285"/>
      <c r="O75" s="285"/>
      <c r="P75" s="285"/>
      <c r="Q75" s="285"/>
      <c r="R75" s="285"/>
      <c r="S75" s="285"/>
      <c r="T75" s="285"/>
      <c r="U75" s="285"/>
      <c r="V75" s="285"/>
      <c r="W75" s="285"/>
      <c r="X75" s="285"/>
      <c r="Y75" s="285"/>
      <c r="Z75" s="285"/>
      <c r="AA75" s="285"/>
      <c r="AB75" s="285"/>
      <c r="AC75" s="285"/>
      <c r="AD75" s="285"/>
      <c r="AE75" s="285"/>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row>
    <row r="76" spans="1:56" ht="15">
      <c r="A76" s="211"/>
      <c r="B76" s="211"/>
      <c r="C76" s="211"/>
      <c r="D76" s="211"/>
      <c r="E76" s="211"/>
      <c r="F76" s="283"/>
      <c r="G76" s="233"/>
      <c r="H76" s="233"/>
      <c r="K76" s="285"/>
      <c r="L76" s="285"/>
      <c r="M76" s="285"/>
      <c r="N76" s="285"/>
      <c r="O76" s="285"/>
      <c r="P76" s="285"/>
      <c r="Q76" s="285"/>
      <c r="R76" s="285"/>
      <c r="S76" s="285"/>
      <c r="T76" s="285"/>
      <c r="U76" s="285"/>
      <c r="V76" s="285"/>
      <c r="W76" s="285"/>
      <c r="X76" s="285"/>
      <c r="Y76" s="285"/>
      <c r="Z76" s="285"/>
      <c r="AA76" s="285"/>
      <c r="AB76" s="285"/>
      <c r="AC76" s="285"/>
      <c r="AD76" s="285"/>
      <c r="AE76" s="285"/>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row>
    <row r="77" spans="1:56" ht="15">
      <c r="A77" s="211"/>
      <c r="B77" s="211"/>
      <c r="C77" s="211"/>
      <c r="D77" s="211"/>
      <c r="E77" s="211"/>
      <c r="F77" s="283"/>
      <c r="G77" s="233"/>
      <c r="H77" s="233"/>
      <c r="K77" s="285"/>
      <c r="L77" s="285"/>
      <c r="M77" s="285"/>
      <c r="N77" s="285"/>
      <c r="O77" s="285"/>
      <c r="P77" s="285"/>
      <c r="Q77" s="285"/>
      <c r="R77" s="285"/>
      <c r="S77" s="285"/>
      <c r="T77" s="285"/>
      <c r="U77" s="285"/>
      <c r="V77" s="285"/>
      <c r="W77" s="285"/>
      <c r="X77" s="285"/>
      <c r="Y77" s="285"/>
      <c r="Z77" s="285"/>
      <c r="AA77" s="285"/>
      <c r="AB77" s="285"/>
      <c r="AC77" s="285"/>
      <c r="AD77" s="285"/>
      <c r="AE77" s="285"/>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row>
    <row r="78" spans="1:56" ht="15">
      <c r="A78" s="211"/>
      <c r="B78" s="211"/>
      <c r="C78" s="211"/>
      <c r="D78" s="211"/>
      <c r="E78" s="211"/>
      <c r="F78" s="283"/>
      <c r="G78" s="233"/>
      <c r="H78" s="233"/>
      <c r="K78" s="285"/>
      <c r="L78" s="285"/>
      <c r="M78" s="285"/>
      <c r="N78" s="285"/>
      <c r="O78" s="285"/>
      <c r="P78" s="285"/>
      <c r="Q78" s="285"/>
      <c r="R78" s="285"/>
      <c r="S78" s="285"/>
      <c r="T78" s="285"/>
      <c r="U78" s="285"/>
      <c r="V78" s="285"/>
      <c r="W78" s="285"/>
      <c r="X78" s="285"/>
      <c r="Y78" s="285"/>
      <c r="Z78" s="285"/>
      <c r="AA78" s="285"/>
      <c r="AB78" s="285"/>
      <c r="AC78" s="285"/>
      <c r="AD78" s="285"/>
      <c r="AE78" s="285"/>
      <c r="AF78" s="284"/>
      <c r="AG78" s="284"/>
      <c r="AH78" s="284"/>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row>
    <row r="79" spans="1:56" ht="15">
      <c r="A79" s="211"/>
      <c r="B79" s="211"/>
      <c r="C79" s="211"/>
      <c r="D79" s="211"/>
      <c r="E79" s="211"/>
      <c r="F79" s="283"/>
      <c r="G79" s="233"/>
      <c r="H79" s="233"/>
      <c r="K79" s="193"/>
      <c r="L79" s="193"/>
      <c r="M79" s="193"/>
      <c r="N79" s="193"/>
      <c r="O79" s="193"/>
      <c r="P79" s="193"/>
      <c r="Q79" s="193"/>
      <c r="R79" s="193"/>
      <c r="S79" s="193"/>
      <c r="T79" s="193"/>
      <c r="U79" s="193"/>
      <c r="V79" s="193"/>
      <c r="W79" s="193"/>
      <c r="X79" s="193"/>
      <c r="Y79" s="193"/>
      <c r="Z79" s="193"/>
      <c r="AA79" s="193"/>
      <c r="AB79" s="193"/>
      <c r="AC79" s="193"/>
      <c r="AD79" s="193"/>
      <c r="AE79" s="193"/>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row>
    <row r="80" spans="1:56" ht="15">
      <c r="A80" s="211"/>
      <c r="B80" s="211"/>
      <c r="C80" s="211"/>
      <c r="D80" s="211"/>
      <c r="E80" s="211"/>
      <c r="F80" s="283"/>
      <c r="G80" s="233"/>
      <c r="H80" s="233"/>
      <c r="K80" s="193"/>
      <c r="L80" s="193"/>
      <c r="M80" s="193"/>
      <c r="N80" s="193"/>
      <c r="O80" s="193"/>
      <c r="P80" s="193"/>
      <c r="Q80" s="193"/>
      <c r="R80" s="193"/>
      <c r="S80" s="193"/>
      <c r="T80" s="193"/>
      <c r="U80" s="193"/>
      <c r="V80" s="193"/>
      <c r="W80" s="193"/>
      <c r="X80" s="193"/>
      <c r="Y80" s="193"/>
      <c r="Z80" s="193"/>
      <c r="AA80" s="193"/>
      <c r="AB80" s="193"/>
      <c r="AC80" s="193"/>
      <c r="AD80" s="193"/>
      <c r="AE80" s="193"/>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row>
    <row r="81" spans="1:56" ht="15">
      <c r="A81" s="211"/>
      <c r="B81" s="211"/>
      <c r="C81" s="211"/>
      <c r="D81" s="211"/>
      <c r="E81" s="211"/>
      <c r="F81" s="283"/>
      <c r="G81" s="233"/>
      <c r="H81" s="233"/>
      <c r="K81" s="193"/>
      <c r="L81" s="193"/>
      <c r="M81" s="193"/>
      <c r="N81" s="193"/>
      <c r="O81" s="193"/>
      <c r="P81" s="193"/>
      <c r="Q81" s="193"/>
      <c r="R81" s="193"/>
      <c r="S81" s="193"/>
      <c r="T81" s="193"/>
      <c r="U81" s="193"/>
      <c r="V81" s="193"/>
      <c r="W81" s="193"/>
      <c r="X81" s="193"/>
      <c r="Y81" s="193"/>
      <c r="Z81" s="193"/>
      <c r="AA81" s="193"/>
      <c r="AB81" s="193"/>
      <c r="AC81" s="193"/>
      <c r="AD81" s="193"/>
      <c r="AE81" s="193"/>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row>
    <row r="82" spans="1:56" ht="15">
      <c r="A82" s="211"/>
      <c r="B82" s="211"/>
      <c r="C82" s="211"/>
      <c r="D82" s="211"/>
      <c r="E82" s="211"/>
      <c r="F82" s="283"/>
      <c r="G82" s="233"/>
      <c r="H82" s="233"/>
      <c r="K82" s="193"/>
      <c r="L82" s="193"/>
      <c r="M82" s="193"/>
      <c r="N82" s="193"/>
      <c r="O82" s="193"/>
      <c r="P82" s="193"/>
      <c r="Q82" s="193"/>
      <c r="R82" s="193"/>
      <c r="S82" s="193"/>
      <c r="T82" s="193"/>
      <c r="U82" s="193"/>
      <c r="V82" s="193"/>
      <c r="W82" s="193"/>
      <c r="X82" s="193"/>
      <c r="Y82" s="193"/>
      <c r="Z82" s="193"/>
      <c r="AA82" s="193"/>
      <c r="AB82" s="193"/>
      <c r="AC82" s="193"/>
      <c r="AD82" s="193"/>
      <c r="AE82" s="193"/>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row>
    <row r="83" spans="1:56" ht="15">
      <c r="A83" s="211"/>
      <c r="B83" s="211"/>
      <c r="C83" s="211"/>
      <c r="D83" s="211"/>
      <c r="E83" s="211"/>
      <c r="F83" s="283"/>
      <c r="G83" s="233"/>
      <c r="H83" s="233"/>
      <c r="K83" s="193"/>
      <c r="L83" s="193"/>
      <c r="M83" s="193"/>
      <c r="N83" s="193"/>
      <c r="O83" s="193"/>
      <c r="P83" s="193"/>
      <c r="Q83" s="193"/>
      <c r="R83" s="193"/>
      <c r="S83" s="193"/>
      <c r="T83" s="193"/>
      <c r="U83" s="193"/>
      <c r="V83" s="193"/>
      <c r="W83" s="193"/>
      <c r="X83" s="193"/>
      <c r="Y83" s="193"/>
      <c r="Z83" s="193"/>
      <c r="AA83" s="193"/>
      <c r="AB83" s="193"/>
      <c r="AC83" s="193"/>
      <c r="AD83" s="193"/>
      <c r="AE83" s="193"/>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row>
    <row r="84" spans="1:56" ht="15">
      <c r="A84" s="211"/>
      <c r="B84" s="211"/>
      <c r="C84" s="211"/>
      <c r="D84" s="211"/>
      <c r="E84" s="211"/>
      <c r="F84" s="283"/>
      <c r="G84" s="233"/>
      <c r="H84" s="233"/>
      <c r="K84" s="193"/>
      <c r="L84" s="193"/>
      <c r="M84" s="193"/>
      <c r="N84" s="193"/>
      <c r="O84" s="193"/>
      <c r="P84" s="193"/>
      <c r="Q84" s="193"/>
      <c r="R84" s="193"/>
      <c r="S84" s="193"/>
      <c r="T84" s="193"/>
      <c r="U84" s="193"/>
      <c r="V84" s="193"/>
      <c r="W84" s="193"/>
      <c r="X84" s="193"/>
      <c r="Y84" s="193"/>
      <c r="Z84" s="193"/>
      <c r="AA84" s="193"/>
      <c r="AB84" s="193"/>
      <c r="AC84" s="193"/>
      <c r="AD84" s="193"/>
      <c r="AE84" s="193"/>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row>
    <row r="85" spans="1:56" ht="15">
      <c r="A85" s="211"/>
      <c r="B85" s="211"/>
      <c r="C85" s="211"/>
      <c r="D85" s="211"/>
      <c r="E85" s="211"/>
      <c r="F85" s="283"/>
      <c r="G85" s="233"/>
      <c r="H85" s="233"/>
      <c r="K85" s="193"/>
      <c r="L85" s="193"/>
      <c r="M85" s="193"/>
      <c r="N85" s="193"/>
      <c r="O85" s="193"/>
      <c r="P85" s="193"/>
      <c r="Q85" s="193"/>
      <c r="R85" s="193"/>
      <c r="S85" s="193"/>
      <c r="T85" s="193"/>
      <c r="U85" s="193"/>
      <c r="V85" s="193"/>
      <c r="W85" s="193"/>
      <c r="X85" s="193"/>
      <c r="Y85" s="193"/>
      <c r="Z85" s="193"/>
      <c r="AA85" s="193"/>
      <c r="AB85" s="193"/>
      <c r="AC85" s="193"/>
      <c r="AD85" s="193"/>
      <c r="AE85" s="193"/>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row>
    <row r="86" spans="1:56" ht="15">
      <c r="A86" s="211"/>
      <c r="B86" s="211"/>
      <c r="C86" s="211"/>
      <c r="D86" s="211"/>
      <c r="E86" s="211"/>
      <c r="F86" s="283"/>
      <c r="G86" s="233"/>
      <c r="H86" s="233"/>
      <c r="K86" s="193"/>
      <c r="L86" s="193"/>
      <c r="M86" s="193"/>
      <c r="N86" s="193"/>
      <c r="O86" s="193"/>
      <c r="P86" s="193"/>
      <c r="Q86" s="193"/>
      <c r="R86" s="193"/>
      <c r="S86" s="193"/>
      <c r="T86" s="193"/>
      <c r="U86" s="193"/>
      <c r="V86" s="193"/>
      <c r="W86" s="193"/>
      <c r="X86" s="193"/>
      <c r="Y86" s="193"/>
      <c r="Z86" s="193"/>
      <c r="AA86" s="193"/>
      <c r="AB86" s="193"/>
      <c r="AC86" s="193"/>
      <c r="AD86" s="193"/>
      <c r="AE86" s="193"/>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row>
    <row r="87" spans="1:56" ht="15">
      <c r="A87" s="211"/>
      <c r="B87" s="211"/>
      <c r="C87" s="211"/>
      <c r="D87" s="211"/>
      <c r="E87" s="211"/>
      <c r="F87" s="283"/>
      <c r="G87" s="233"/>
      <c r="H87" s="233"/>
      <c r="K87" s="193"/>
      <c r="L87" s="193"/>
      <c r="M87" s="193"/>
      <c r="N87" s="193"/>
      <c r="O87" s="193"/>
      <c r="P87" s="193"/>
      <c r="Q87" s="193"/>
      <c r="R87" s="193"/>
      <c r="S87" s="193"/>
      <c r="T87" s="193"/>
      <c r="U87" s="193"/>
      <c r="V87" s="193"/>
      <c r="W87" s="193"/>
      <c r="X87" s="193"/>
      <c r="Y87" s="193"/>
      <c r="Z87" s="193"/>
      <c r="AA87" s="193"/>
      <c r="AB87" s="193"/>
      <c r="AC87" s="193"/>
      <c r="AD87" s="193"/>
      <c r="AE87" s="193"/>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row>
    <row r="88" spans="1:56" ht="15">
      <c r="A88" s="211"/>
      <c r="B88" s="211"/>
      <c r="C88" s="211"/>
      <c r="D88" s="211"/>
      <c r="E88" s="211"/>
      <c r="F88" s="283"/>
      <c r="G88" s="233"/>
      <c r="H88" s="233"/>
      <c r="K88" s="193"/>
      <c r="L88" s="193"/>
      <c r="M88" s="193"/>
      <c r="N88" s="193"/>
      <c r="O88" s="193"/>
      <c r="P88" s="193"/>
      <c r="Q88" s="193"/>
      <c r="R88" s="193"/>
      <c r="S88" s="193"/>
      <c r="T88" s="193"/>
      <c r="U88" s="193"/>
      <c r="V88" s="193"/>
      <c r="W88" s="193"/>
      <c r="X88" s="193"/>
      <c r="Y88" s="193"/>
      <c r="Z88" s="193"/>
      <c r="AA88" s="193"/>
      <c r="AB88" s="193"/>
      <c r="AC88" s="193"/>
      <c r="AD88" s="193"/>
      <c r="AE88" s="193"/>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row>
    <row r="89" spans="1:56" ht="15">
      <c r="A89" s="211"/>
      <c r="B89" s="211"/>
      <c r="C89" s="211"/>
      <c r="D89" s="211"/>
      <c r="E89" s="211"/>
      <c r="F89" s="283"/>
      <c r="G89" s="233"/>
      <c r="H89" s="233"/>
      <c r="K89" s="193"/>
      <c r="L89" s="193"/>
      <c r="M89" s="193"/>
      <c r="N89" s="193"/>
      <c r="O89" s="193"/>
      <c r="P89" s="193"/>
      <c r="Q89" s="193"/>
      <c r="R89" s="193"/>
      <c r="S89" s="193"/>
      <c r="T89" s="193"/>
      <c r="U89" s="193"/>
      <c r="V89" s="193"/>
      <c r="W89" s="193"/>
      <c r="X89" s="193"/>
      <c r="Y89" s="193"/>
      <c r="Z89" s="193"/>
      <c r="AA89" s="193"/>
      <c r="AB89" s="193"/>
      <c r="AC89" s="193"/>
      <c r="AD89" s="193"/>
      <c r="AE89" s="193"/>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row>
    <row r="90" spans="1:56" ht="15">
      <c r="A90" s="211"/>
      <c r="B90" s="211"/>
      <c r="C90" s="211"/>
      <c r="D90" s="211"/>
      <c r="E90" s="211"/>
      <c r="F90" s="283"/>
      <c r="G90" s="233"/>
      <c r="H90" s="233"/>
      <c r="K90" s="193"/>
      <c r="L90" s="193"/>
      <c r="M90" s="193"/>
      <c r="N90" s="193"/>
      <c r="O90" s="193"/>
      <c r="P90" s="193"/>
      <c r="Q90" s="193"/>
      <c r="R90" s="193"/>
      <c r="S90" s="193"/>
      <c r="T90" s="193"/>
      <c r="U90" s="193"/>
      <c r="V90" s="193"/>
      <c r="W90" s="193"/>
      <c r="X90" s="193"/>
      <c r="Y90" s="193"/>
      <c r="Z90" s="193"/>
      <c r="AA90" s="193"/>
      <c r="AB90" s="193"/>
      <c r="AC90" s="193"/>
      <c r="AD90" s="193"/>
      <c r="AE90" s="193"/>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row>
    <row r="91" spans="1:56" ht="15">
      <c r="A91" s="211"/>
      <c r="B91" s="211"/>
      <c r="C91" s="211"/>
      <c r="D91" s="211"/>
      <c r="E91" s="211"/>
      <c r="F91" s="283"/>
      <c r="G91" s="233"/>
      <c r="H91" s="233"/>
      <c r="K91" s="193"/>
      <c r="L91" s="193"/>
      <c r="M91" s="193"/>
      <c r="N91" s="193"/>
      <c r="O91" s="193"/>
      <c r="P91" s="193"/>
      <c r="Q91" s="193"/>
      <c r="R91" s="193"/>
      <c r="S91" s="193"/>
      <c r="T91" s="193"/>
      <c r="U91" s="193"/>
      <c r="V91" s="193"/>
      <c r="W91" s="193"/>
      <c r="X91" s="193"/>
      <c r="Y91" s="193"/>
      <c r="Z91" s="193"/>
      <c r="AA91" s="193"/>
      <c r="AB91" s="193"/>
      <c r="AC91" s="193"/>
      <c r="AD91" s="193"/>
      <c r="AE91" s="193"/>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row>
    <row r="92" spans="1:56" ht="15">
      <c r="A92" s="211"/>
      <c r="B92" s="211"/>
      <c r="C92" s="211"/>
      <c r="D92" s="211"/>
      <c r="E92" s="211"/>
      <c r="F92" s="283"/>
      <c r="G92" s="233"/>
      <c r="H92" s="233"/>
      <c r="K92" s="193"/>
      <c r="L92" s="193"/>
      <c r="M92" s="193"/>
      <c r="N92" s="193"/>
      <c r="O92" s="193"/>
      <c r="P92" s="193"/>
      <c r="Q92" s="193"/>
      <c r="R92" s="193"/>
      <c r="S92" s="193"/>
      <c r="T92" s="193"/>
      <c r="U92" s="193"/>
      <c r="V92" s="193"/>
      <c r="W92" s="193"/>
      <c r="X92" s="193"/>
      <c r="Y92" s="193"/>
      <c r="Z92" s="193"/>
      <c r="AA92" s="193"/>
      <c r="AB92" s="193"/>
      <c r="AC92" s="193"/>
      <c r="AD92" s="193"/>
      <c r="AE92" s="193"/>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row>
    <row r="93" spans="1:56" ht="15">
      <c r="A93" s="211"/>
      <c r="B93" s="211"/>
      <c r="C93" s="211"/>
      <c r="D93" s="211"/>
      <c r="E93" s="211"/>
      <c r="F93" s="283"/>
      <c r="G93" s="233"/>
      <c r="H93" s="233"/>
      <c r="K93" s="285"/>
      <c r="L93" s="285"/>
      <c r="M93" s="285"/>
      <c r="N93" s="285"/>
      <c r="O93" s="285"/>
      <c r="P93" s="285"/>
      <c r="Q93" s="285"/>
      <c r="R93" s="285"/>
      <c r="S93" s="285"/>
      <c r="T93" s="285"/>
      <c r="U93" s="285"/>
      <c r="V93" s="285"/>
      <c r="W93" s="285"/>
      <c r="X93" s="285"/>
      <c r="Y93" s="285"/>
      <c r="Z93" s="285"/>
      <c r="AA93" s="285"/>
      <c r="AB93" s="285"/>
      <c r="AC93" s="285"/>
      <c r="AD93" s="285"/>
      <c r="AE93" s="285"/>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row>
    <row r="94" spans="1:56" ht="15">
      <c r="A94" s="211"/>
      <c r="B94" s="211"/>
      <c r="C94" s="211"/>
      <c r="D94" s="211"/>
      <c r="E94" s="211"/>
      <c r="F94" s="283"/>
      <c r="G94" s="233"/>
      <c r="H94" s="233"/>
      <c r="K94" s="285"/>
      <c r="L94" s="285"/>
      <c r="M94" s="285"/>
      <c r="N94" s="285"/>
      <c r="O94" s="285"/>
      <c r="P94" s="285"/>
      <c r="Q94" s="285"/>
      <c r="R94" s="285"/>
      <c r="S94" s="285"/>
      <c r="T94" s="285"/>
      <c r="U94" s="285"/>
      <c r="V94" s="285"/>
      <c r="W94" s="285"/>
      <c r="X94" s="285"/>
      <c r="Y94" s="285"/>
      <c r="Z94" s="285"/>
      <c r="AA94" s="285"/>
      <c r="AB94" s="285"/>
      <c r="AC94" s="285"/>
      <c r="AD94" s="285"/>
      <c r="AE94" s="285"/>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row>
    <row r="95" spans="1:56" ht="15">
      <c r="A95" s="211"/>
      <c r="B95" s="211"/>
      <c r="C95" s="211"/>
      <c r="D95" s="211"/>
      <c r="E95" s="211"/>
      <c r="F95" s="283"/>
      <c r="G95" s="233"/>
      <c r="H95" s="233"/>
      <c r="K95" s="285"/>
      <c r="L95" s="285"/>
      <c r="M95" s="285"/>
      <c r="N95" s="285"/>
      <c r="O95" s="285"/>
      <c r="P95" s="285"/>
      <c r="Q95" s="285"/>
      <c r="R95" s="285"/>
      <c r="S95" s="285"/>
      <c r="T95" s="285"/>
      <c r="U95" s="285"/>
      <c r="V95" s="285"/>
      <c r="W95" s="285"/>
      <c r="X95" s="285"/>
      <c r="Y95" s="285"/>
      <c r="Z95" s="285"/>
      <c r="AA95" s="285"/>
      <c r="AB95" s="285"/>
      <c r="AC95" s="285"/>
      <c r="AD95" s="285"/>
      <c r="AE95" s="285"/>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row>
    <row r="96" spans="1:56" ht="15">
      <c r="A96" s="211"/>
      <c r="B96" s="211"/>
      <c r="C96" s="211"/>
      <c r="D96" s="211"/>
      <c r="E96" s="211"/>
      <c r="F96" s="283"/>
      <c r="G96" s="233"/>
      <c r="H96" s="233"/>
      <c r="K96" s="285"/>
      <c r="L96" s="285"/>
      <c r="M96" s="285"/>
      <c r="N96" s="285"/>
      <c r="O96" s="285"/>
      <c r="P96" s="285"/>
      <c r="Q96" s="285"/>
      <c r="R96" s="285"/>
      <c r="S96" s="285"/>
      <c r="T96" s="285"/>
      <c r="U96" s="285"/>
      <c r="V96" s="285"/>
      <c r="W96" s="285"/>
      <c r="X96" s="285"/>
      <c r="Y96" s="285"/>
      <c r="Z96" s="285"/>
      <c r="AA96" s="285"/>
      <c r="AB96" s="285"/>
      <c r="AC96" s="285"/>
      <c r="AD96" s="285"/>
      <c r="AE96" s="285"/>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row>
    <row r="97" spans="1:56" ht="15">
      <c r="A97" s="211"/>
      <c r="B97" s="211"/>
      <c r="C97" s="211"/>
      <c r="D97" s="211"/>
      <c r="E97" s="211"/>
      <c r="F97" s="283"/>
      <c r="G97" s="233"/>
      <c r="H97" s="233"/>
      <c r="K97" s="285"/>
      <c r="L97" s="285"/>
      <c r="M97" s="285"/>
      <c r="N97" s="285"/>
      <c r="O97" s="285"/>
      <c r="P97" s="285"/>
      <c r="Q97" s="285"/>
      <c r="R97" s="285"/>
      <c r="S97" s="285"/>
      <c r="T97" s="285"/>
      <c r="U97" s="285"/>
      <c r="V97" s="285"/>
      <c r="W97" s="285"/>
      <c r="X97" s="285"/>
      <c r="Y97" s="285"/>
      <c r="Z97" s="285"/>
      <c r="AA97" s="285"/>
      <c r="AB97" s="285"/>
      <c r="AC97" s="285"/>
      <c r="AD97" s="285"/>
      <c r="AE97" s="285"/>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row>
    <row r="98" spans="1:56" ht="15">
      <c r="A98" s="211"/>
      <c r="B98" s="211"/>
      <c r="C98" s="211"/>
      <c r="D98" s="211"/>
      <c r="E98" s="211"/>
      <c r="F98" s="283"/>
      <c r="G98" s="233"/>
      <c r="H98" s="233"/>
      <c r="K98" s="285"/>
      <c r="L98" s="285"/>
      <c r="M98" s="285"/>
      <c r="N98" s="285"/>
      <c r="O98" s="285"/>
      <c r="P98" s="285"/>
      <c r="Q98" s="285"/>
      <c r="R98" s="285"/>
      <c r="S98" s="285"/>
      <c r="T98" s="285"/>
      <c r="U98" s="285"/>
      <c r="V98" s="285"/>
      <c r="W98" s="285"/>
      <c r="X98" s="285"/>
      <c r="Y98" s="285"/>
      <c r="Z98" s="285"/>
      <c r="AA98" s="285"/>
      <c r="AB98" s="285"/>
      <c r="AC98" s="285"/>
      <c r="AD98" s="285"/>
      <c r="AE98" s="285"/>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row>
    <row r="99" spans="1:56" ht="15">
      <c r="A99" s="211"/>
      <c r="B99" s="211"/>
      <c r="C99" s="211"/>
      <c r="D99" s="211"/>
      <c r="E99" s="211"/>
      <c r="F99" s="283"/>
      <c r="G99" s="233"/>
      <c r="H99" s="233"/>
      <c r="K99" s="285"/>
      <c r="L99" s="285"/>
      <c r="M99" s="285"/>
      <c r="N99" s="285"/>
      <c r="O99" s="285"/>
      <c r="P99" s="285"/>
      <c r="Q99" s="285"/>
      <c r="R99" s="285"/>
      <c r="S99" s="285"/>
      <c r="T99" s="285"/>
      <c r="U99" s="285"/>
      <c r="V99" s="285"/>
      <c r="W99" s="285"/>
      <c r="X99" s="285"/>
      <c r="Y99" s="285"/>
      <c r="Z99" s="285"/>
      <c r="AA99" s="285"/>
      <c r="AB99" s="285"/>
      <c r="AC99" s="285"/>
      <c r="AD99" s="285"/>
      <c r="AE99" s="285"/>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row>
    <row r="100" spans="1:56" ht="15">
      <c r="A100" s="211"/>
      <c r="B100" s="211"/>
      <c r="C100" s="211"/>
      <c r="D100" s="211"/>
      <c r="E100" s="211"/>
      <c r="F100" s="283"/>
      <c r="G100" s="233"/>
      <c r="H100" s="233"/>
      <c r="K100" s="285"/>
      <c r="L100" s="285"/>
      <c r="M100" s="285"/>
      <c r="N100" s="285"/>
      <c r="O100" s="285"/>
      <c r="P100" s="285"/>
      <c r="Q100" s="285"/>
      <c r="R100" s="285"/>
      <c r="S100" s="285"/>
      <c r="T100" s="285"/>
      <c r="U100" s="285"/>
      <c r="V100" s="285"/>
      <c r="W100" s="285"/>
      <c r="X100" s="285"/>
      <c r="Y100" s="285"/>
      <c r="Z100" s="285"/>
      <c r="AA100" s="285"/>
      <c r="AB100" s="285"/>
      <c r="AC100" s="285"/>
      <c r="AD100" s="285"/>
      <c r="AE100" s="285"/>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row>
    <row r="101" spans="1:56" ht="15">
      <c r="A101" s="211"/>
      <c r="B101" s="211"/>
      <c r="C101" s="211"/>
      <c r="D101" s="211"/>
      <c r="E101" s="211"/>
      <c r="F101" s="283"/>
      <c r="G101" s="233"/>
      <c r="H101" s="233"/>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row>
    <row r="102" spans="1:56" ht="15">
      <c r="A102" s="211"/>
      <c r="B102" s="211"/>
      <c r="C102" s="211"/>
      <c r="D102" s="211"/>
      <c r="E102" s="211"/>
      <c r="F102" s="283"/>
      <c r="G102" s="233"/>
      <c r="H102" s="233"/>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row>
    <row r="103" spans="1:56" ht="15">
      <c r="A103" s="211"/>
      <c r="B103" s="211"/>
      <c r="C103" s="211"/>
      <c r="D103" s="211"/>
      <c r="E103" s="211"/>
      <c r="F103" s="283"/>
      <c r="G103" s="233"/>
      <c r="H103" s="233"/>
      <c r="K103" s="285"/>
      <c r="L103" s="285"/>
      <c r="M103" s="285"/>
      <c r="N103" s="285"/>
      <c r="O103" s="285"/>
      <c r="P103" s="285"/>
      <c r="Q103" s="285"/>
      <c r="R103" s="285"/>
      <c r="S103" s="285"/>
      <c r="T103" s="285"/>
      <c r="U103" s="285"/>
      <c r="V103" s="285"/>
      <c r="W103" s="285"/>
      <c r="X103" s="285"/>
      <c r="Y103" s="285"/>
      <c r="Z103" s="285"/>
      <c r="AA103" s="285"/>
      <c r="AB103" s="285"/>
      <c r="AC103" s="285"/>
      <c r="AD103" s="285"/>
      <c r="AE103" s="285"/>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row>
    <row r="104" spans="1:56" ht="15">
      <c r="A104" s="211"/>
      <c r="B104" s="211"/>
      <c r="C104" s="211"/>
      <c r="D104" s="211"/>
      <c r="E104" s="211"/>
      <c r="F104" s="283"/>
      <c r="G104" s="233"/>
      <c r="H104" s="233"/>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row>
    <row r="105" spans="1:56" ht="15">
      <c r="A105" s="211"/>
      <c r="B105" s="211"/>
      <c r="C105" s="211"/>
      <c r="D105" s="211"/>
      <c r="E105" s="211"/>
      <c r="F105" s="283"/>
      <c r="G105" s="233"/>
      <c r="H105" s="23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row>
    <row r="106" spans="1:56" ht="15">
      <c r="A106" s="211"/>
      <c r="B106" s="211"/>
      <c r="C106" s="211"/>
      <c r="D106" s="211"/>
      <c r="E106" s="211"/>
      <c r="F106" s="283"/>
      <c r="G106" s="233"/>
      <c r="H106" s="23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row>
    <row r="107" spans="1:56" ht="15">
      <c r="A107" s="211"/>
      <c r="B107" s="211"/>
      <c r="C107" s="211"/>
      <c r="D107" s="211"/>
      <c r="E107" s="211"/>
      <c r="F107" s="283"/>
      <c r="G107" s="233"/>
      <c r="H107" s="23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row>
    <row r="108" spans="1:56" ht="15">
      <c r="A108" s="211"/>
      <c r="B108" s="211"/>
      <c r="C108" s="211"/>
      <c r="D108" s="211"/>
      <c r="E108" s="211"/>
      <c r="F108" s="283"/>
      <c r="G108" s="233"/>
      <c r="H108" s="23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row>
    <row r="109" spans="1:56" ht="15">
      <c r="A109" s="211"/>
      <c r="B109" s="211"/>
      <c r="C109" s="211"/>
      <c r="D109" s="211"/>
      <c r="E109" s="211"/>
      <c r="F109" s="283"/>
      <c r="G109" s="233"/>
      <c r="H109" s="23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row>
    <row r="110" spans="1:56" ht="15">
      <c r="A110" s="211"/>
      <c r="B110" s="211"/>
      <c r="C110" s="211"/>
      <c r="D110" s="211"/>
      <c r="E110" s="211"/>
      <c r="F110" s="283"/>
      <c r="G110" s="233"/>
      <c r="H110" s="23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row>
    <row r="111" spans="1:56" ht="15">
      <c r="A111" s="211"/>
      <c r="B111" s="211"/>
      <c r="C111" s="211"/>
      <c r="D111" s="211"/>
      <c r="E111" s="211"/>
      <c r="F111" s="283"/>
      <c r="G111" s="233"/>
      <c r="H111" s="23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row>
    <row r="112" spans="1:56" ht="15">
      <c r="A112" s="211"/>
      <c r="B112" s="211"/>
      <c r="C112" s="211"/>
      <c r="D112" s="211"/>
      <c r="E112" s="211"/>
      <c r="F112" s="283"/>
      <c r="G112" s="233"/>
      <c r="H112" s="23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row>
    <row r="113" spans="1:56" ht="15">
      <c r="A113" s="211"/>
      <c r="B113" s="211"/>
      <c r="C113" s="211"/>
      <c r="D113" s="211"/>
      <c r="E113" s="211"/>
      <c r="F113" s="283"/>
      <c r="G113" s="233"/>
      <c r="H113" s="23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row>
    <row r="114" spans="1:56" ht="15">
      <c r="A114" s="211"/>
      <c r="B114" s="211"/>
      <c r="C114" s="211"/>
      <c r="D114" s="211"/>
      <c r="E114" s="211"/>
      <c r="F114" s="283"/>
      <c r="G114" s="233"/>
      <c r="H114" s="23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row>
    <row r="115" spans="1:56" ht="15">
      <c r="A115" s="211"/>
      <c r="B115" s="211"/>
      <c r="C115" s="211"/>
      <c r="D115" s="211"/>
      <c r="E115" s="211"/>
      <c r="F115" s="283"/>
      <c r="G115" s="233"/>
      <c r="H115" s="23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row>
    <row r="116" spans="1:56" ht="15">
      <c r="A116" s="211"/>
      <c r="B116" s="211"/>
      <c r="C116" s="211"/>
      <c r="D116" s="211"/>
      <c r="E116" s="211"/>
      <c r="F116" s="283"/>
      <c r="G116" s="233"/>
      <c r="H116" s="23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row>
    <row r="117" spans="1:56" ht="15">
      <c r="A117" s="211"/>
      <c r="B117" s="211"/>
      <c r="C117" s="211"/>
      <c r="D117" s="211"/>
      <c r="E117" s="211"/>
      <c r="F117" s="283"/>
      <c r="G117" s="233"/>
      <c r="H117" s="23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row>
    <row r="118" spans="1:56" ht="15">
      <c r="A118" s="211"/>
      <c r="B118" s="211"/>
      <c r="C118" s="211"/>
      <c r="D118" s="211"/>
      <c r="E118" s="211"/>
      <c r="F118" s="283"/>
      <c r="G118" s="233"/>
      <c r="H118" s="23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row>
    <row r="119" spans="1:56" ht="15">
      <c r="A119" s="211"/>
      <c r="B119" s="211"/>
      <c r="C119" s="211"/>
      <c r="D119" s="211"/>
      <c r="E119" s="211"/>
      <c r="F119" s="283"/>
      <c r="G119" s="233"/>
      <c r="H119" s="233"/>
      <c r="K119" s="285"/>
      <c r="L119" s="285"/>
      <c r="M119" s="285"/>
      <c r="N119" s="285"/>
      <c r="O119" s="285"/>
      <c r="P119" s="285"/>
      <c r="Q119" s="285"/>
      <c r="R119" s="285"/>
      <c r="S119" s="285"/>
      <c r="T119" s="285"/>
      <c r="U119" s="285"/>
      <c r="V119" s="285"/>
      <c r="W119" s="285"/>
      <c r="X119" s="285"/>
      <c r="Y119" s="285"/>
      <c r="Z119" s="285"/>
      <c r="AA119" s="285"/>
      <c r="AB119" s="285"/>
      <c r="AC119" s="285"/>
      <c r="AD119" s="285"/>
      <c r="AE119" s="285"/>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row>
    <row r="120" spans="1:56" ht="15">
      <c r="A120" s="211"/>
      <c r="B120" s="211"/>
      <c r="C120" s="211"/>
      <c r="D120" s="211"/>
      <c r="E120" s="211"/>
      <c r="F120" s="283"/>
      <c r="G120" s="233"/>
      <c r="H120" s="233"/>
      <c r="K120" s="285"/>
      <c r="L120" s="285"/>
      <c r="M120" s="285"/>
      <c r="N120" s="285"/>
      <c r="O120" s="285"/>
      <c r="P120" s="285"/>
      <c r="Q120" s="285"/>
      <c r="R120" s="285"/>
      <c r="S120" s="285"/>
      <c r="T120" s="285"/>
      <c r="U120" s="285"/>
      <c r="V120" s="285"/>
      <c r="W120" s="285"/>
      <c r="X120" s="285"/>
      <c r="Y120" s="285"/>
      <c r="Z120" s="285"/>
      <c r="AA120" s="285"/>
      <c r="AB120" s="285"/>
      <c r="AC120" s="285"/>
      <c r="AD120" s="285"/>
      <c r="AE120" s="285"/>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row>
    <row r="121" spans="1:56" ht="15">
      <c r="A121" s="211"/>
      <c r="B121" s="211"/>
      <c r="C121" s="211"/>
      <c r="D121" s="211"/>
      <c r="E121" s="211"/>
      <c r="F121" s="283"/>
      <c r="G121" s="233"/>
      <c r="H121" s="233"/>
      <c r="K121" s="285"/>
      <c r="L121" s="285"/>
      <c r="M121" s="285"/>
      <c r="N121" s="285"/>
      <c r="O121" s="285"/>
      <c r="P121" s="285"/>
      <c r="Q121" s="285"/>
      <c r="R121" s="285"/>
      <c r="S121" s="285"/>
      <c r="T121" s="285"/>
      <c r="U121" s="285"/>
      <c r="V121" s="285"/>
      <c r="W121" s="285"/>
      <c r="X121" s="285"/>
      <c r="Y121" s="285"/>
      <c r="Z121" s="285"/>
      <c r="AA121" s="285"/>
      <c r="AB121" s="285"/>
      <c r="AC121" s="285"/>
      <c r="AD121" s="285"/>
      <c r="AE121" s="285"/>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row>
    <row r="122" spans="1:56" ht="15">
      <c r="A122" s="211"/>
      <c r="B122" s="211"/>
      <c r="C122" s="211"/>
      <c r="D122" s="211"/>
      <c r="E122" s="211"/>
      <c r="F122" s="283"/>
      <c r="G122" s="233"/>
      <c r="H122" s="233"/>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A231"/>
  <sheetViews>
    <sheetView topLeftCell="A7" zoomScaleNormal="100" workbookViewId="0">
      <selection activeCell="E13" sqref="E13:H16"/>
    </sheetView>
  </sheetViews>
  <sheetFormatPr defaultRowHeight="12.75"/>
  <cols>
    <col min="1" max="1" width="35" style="182" customWidth="1"/>
    <col min="2" max="3" width="20.7109375" style="182" customWidth="1"/>
    <col min="4" max="4" width="33.140625" style="182" customWidth="1"/>
    <col min="5" max="5" width="19.85546875" style="182" customWidth="1"/>
    <col min="6" max="7" width="12.5703125" style="182" bestFit="1" customWidth="1"/>
    <col min="8" max="8" width="11.140625" style="182" customWidth="1"/>
    <col min="9" max="24" width="9.140625" style="182"/>
    <col min="25" max="25" width="9.5703125" style="182" bestFit="1" customWidth="1"/>
    <col min="26" max="26" width="10" style="182" bestFit="1" customWidth="1"/>
    <col min="27" max="29" width="9.140625" style="182"/>
    <col min="30" max="30" width="21.7109375" style="182" customWidth="1"/>
    <col min="31" max="31" width="35.85546875" style="182" customWidth="1"/>
    <col min="32" max="32" width="35.28515625" style="182" customWidth="1"/>
    <col min="33" max="33" width="15" style="182" customWidth="1"/>
    <col min="34" max="34" width="17.7109375" style="182" customWidth="1"/>
    <col min="35" max="35" width="15.140625" style="182" customWidth="1"/>
    <col min="36" max="36" width="15.7109375" style="182" customWidth="1"/>
    <col min="37" max="37" width="21.28515625" style="182" customWidth="1"/>
    <col min="38" max="38" width="17.7109375" style="182" bestFit="1" customWidth="1"/>
    <col min="39" max="39" width="15.42578125" style="182" bestFit="1" customWidth="1"/>
    <col min="40" max="40" width="14.28515625" style="182" bestFit="1" customWidth="1"/>
    <col min="41" max="41" width="14.28515625" style="182" customWidth="1"/>
    <col min="42" max="42" width="12.5703125" style="182" customWidth="1"/>
    <col min="43" max="43" width="14" style="182" bestFit="1" customWidth="1"/>
    <col min="44" max="45" width="10.85546875" style="182" bestFit="1" customWidth="1"/>
    <col min="46" max="46" width="13.42578125" style="182" customWidth="1"/>
    <col min="47" max="47" width="11.85546875" style="182" bestFit="1" customWidth="1"/>
    <col min="48" max="48" width="11" style="182" bestFit="1" customWidth="1"/>
    <col min="49" max="49" width="14.28515625" style="182" bestFit="1" customWidth="1"/>
    <col min="50" max="50" width="10.7109375" style="182" customWidth="1"/>
    <col min="51" max="51" width="13.85546875" style="182" bestFit="1" customWidth="1"/>
    <col min="52" max="52" width="11.7109375" style="182" bestFit="1" customWidth="1"/>
    <col min="53" max="53" width="15.28515625" style="182" bestFit="1" customWidth="1"/>
    <col min="54" max="56" width="12.28515625" style="182" bestFit="1" customWidth="1"/>
    <col min="57" max="57" width="12.5703125" style="182" bestFit="1" customWidth="1"/>
    <col min="58" max="60" width="14.28515625" style="182" bestFit="1" customWidth="1"/>
    <col min="61" max="61" width="13.7109375" style="182" bestFit="1" customWidth="1"/>
    <col min="62" max="62" width="14" style="182" bestFit="1" customWidth="1"/>
    <col min="63" max="63" width="12.85546875" style="182" bestFit="1" customWidth="1"/>
    <col min="64" max="64" width="15.28515625" style="182" bestFit="1" customWidth="1"/>
    <col min="65" max="65" width="12.28515625" style="182" bestFit="1" customWidth="1"/>
    <col min="66" max="66" width="10.85546875" style="182" bestFit="1" customWidth="1"/>
    <col min="67" max="67" width="12.28515625" style="182" bestFit="1" customWidth="1"/>
    <col min="68" max="68" width="12.5703125" style="182" bestFit="1" customWidth="1"/>
    <col min="69" max="16384" width="9.140625" style="182"/>
  </cols>
  <sheetData>
    <row r="1" spans="1:68" ht="12.75" customHeight="1">
      <c r="A1" s="205" t="s">
        <v>780</v>
      </c>
      <c r="B1" s="374" t="s">
        <v>927</v>
      </c>
      <c r="C1" s="374"/>
      <c r="D1" s="374"/>
      <c r="E1" s="374"/>
      <c r="F1" s="374"/>
      <c r="G1" s="374"/>
      <c r="H1" s="374"/>
      <c r="I1" s="374"/>
      <c r="J1" s="374"/>
      <c r="K1" s="374"/>
      <c r="L1" s="374"/>
      <c r="M1" s="374"/>
      <c r="N1" s="374"/>
      <c r="O1" s="374"/>
      <c r="P1" s="374"/>
      <c r="Q1" s="374"/>
      <c r="R1" s="374"/>
      <c r="S1" s="374"/>
      <c r="T1" s="374"/>
      <c r="U1" s="375"/>
      <c r="V1" s="206"/>
      <c r="W1" s="206"/>
      <c r="X1" s="206"/>
      <c r="Y1" s="206"/>
      <c r="Z1" s="206"/>
    </row>
    <row r="2" spans="1:68" ht="12.75" customHeight="1">
      <c r="A2" s="207" t="s">
        <v>781</v>
      </c>
      <c r="B2" s="374"/>
      <c r="C2" s="374"/>
      <c r="D2" s="374"/>
      <c r="E2" s="374"/>
      <c r="F2" s="374"/>
      <c r="G2" s="374"/>
      <c r="H2" s="374"/>
      <c r="I2" s="374"/>
      <c r="J2" s="374"/>
      <c r="K2" s="374"/>
      <c r="L2" s="374"/>
      <c r="M2" s="374"/>
      <c r="N2" s="374"/>
      <c r="O2" s="374"/>
      <c r="P2" s="374"/>
      <c r="Q2" s="374"/>
      <c r="R2" s="374"/>
      <c r="S2" s="374"/>
      <c r="T2" s="374"/>
      <c r="U2" s="375"/>
      <c r="V2" s="208"/>
      <c r="W2" s="208"/>
      <c r="X2" s="208"/>
      <c r="Y2" s="208"/>
    </row>
    <row r="3" spans="1:68">
      <c r="B3" s="374"/>
      <c r="C3" s="374"/>
      <c r="D3" s="374"/>
      <c r="E3" s="374"/>
      <c r="F3" s="374"/>
      <c r="G3" s="374"/>
      <c r="H3" s="374"/>
      <c r="I3" s="374"/>
      <c r="J3" s="374"/>
      <c r="K3" s="374"/>
      <c r="L3" s="374"/>
      <c r="M3" s="374"/>
      <c r="N3" s="374"/>
      <c r="O3" s="374"/>
      <c r="P3" s="374"/>
      <c r="Q3" s="374"/>
      <c r="R3" s="374"/>
      <c r="S3" s="374"/>
      <c r="T3" s="374"/>
      <c r="U3" s="375"/>
      <c r="V3" s="208"/>
      <c r="W3" s="208"/>
      <c r="X3" s="208"/>
      <c r="Y3" s="208"/>
      <c r="Z3" s="208"/>
    </row>
    <row r="4" spans="1:68">
      <c r="B4" s="374"/>
      <c r="C4" s="374"/>
      <c r="D4" s="374"/>
      <c r="E4" s="374"/>
      <c r="F4" s="374"/>
      <c r="G4" s="374"/>
      <c r="H4" s="374"/>
      <c r="I4" s="374"/>
      <c r="J4" s="374"/>
      <c r="K4" s="374"/>
      <c r="L4" s="374"/>
      <c r="M4" s="374"/>
      <c r="N4" s="374"/>
      <c r="O4" s="374"/>
      <c r="P4" s="374"/>
      <c r="Q4" s="374"/>
      <c r="R4" s="374"/>
      <c r="S4" s="374"/>
      <c r="T4" s="374"/>
      <c r="U4" s="375"/>
      <c r="V4" s="208"/>
      <c r="W4" s="208"/>
      <c r="X4" s="208"/>
      <c r="Y4" s="208"/>
      <c r="Z4" s="208"/>
    </row>
    <row r="5" spans="1:68">
      <c r="B5" s="374"/>
      <c r="C5" s="374"/>
      <c r="D5" s="374"/>
      <c r="E5" s="374"/>
      <c r="F5" s="374"/>
      <c r="G5" s="374"/>
      <c r="H5" s="374"/>
      <c r="I5" s="374"/>
      <c r="J5" s="374"/>
      <c r="K5" s="374"/>
      <c r="L5" s="374"/>
      <c r="M5" s="374"/>
      <c r="N5" s="374"/>
      <c r="O5" s="374"/>
      <c r="P5" s="374"/>
      <c r="Q5" s="374"/>
      <c r="R5" s="374"/>
      <c r="S5" s="374"/>
      <c r="T5" s="374"/>
      <c r="U5" s="375"/>
      <c r="V5" s="208"/>
      <c r="W5" s="208"/>
      <c r="X5" s="208"/>
      <c r="Y5" s="208"/>
      <c r="Z5" s="208"/>
    </row>
    <row r="6" spans="1:68">
      <c r="B6" s="374"/>
      <c r="C6" s="374"/>
      <c r="D6" s="374"/>
      <c r="E6" s="374"/>
      <c r="F6" s="374"/>
      <c r="G6" s="374"/>
      <c r="H6" s="374"/>
      <c r="I6" s="374"/>
      <c r="J6" s="374"/>
      <c r="K6" s="374"/>
      <c r="L6" s="374"/>
      <c r="M6" s="374"/>
      <c r="N6" s="374"/>
      <c r="O6" s="374"/>
      <c r="P6" s="374"/>
      <c r="Q6" s="374"/>
      <c r="R6" s="374"/>
      <c r="S6" s="374"/>
      <c r="T6" s="374"/>
      <c r="U6" s="375"/>
      <c r="V6" s="208"/>
      <c r="W6" s="208"/>
      <c r="X6" s="208"/>
      <c r="Y6" s="208"/>
      <c r="Z6" s="208"/>
    </row>
    <row r="7" spans="1:68">
      <c r="A7" s="287"/>
      <c r="B7" s="287" t="s">
        <v>97</v>
      </c>
      <c r="C7" s="209" t="s">
        <v>966</v>
      </c>
      <c r="D7" s="209" t="s">
        <v>232</v>
      </c>
    </row>
    <row r="8" spans="1:68">
      <c r="A8" s="287" t="s">
        <v>964</v>
      </c>
      <c r="B8" s="287" t="s">
        <v>783</v>
      </c>
      <c r="C8" s="209" t="s">
        <v>279</v>
      </c>
      <c r="D8" s="292" t="str">
        <f>[1]!switch_ForecastState</f>
        <v>Region</v>
      </c>
      <c r="F8" s="179"/>
    </row>
    <row r="9" spans="1:68">
      <c r="A9" s="287" t="str">
        <f>INDEX([2]ACHIEV!$A$20:$B$102,MATCH(CONCATENATE($C$8," - ",$C$7),[2]ACHIEV!$B$20:$B$102,0),1)</f>
        <v>Lighting</v>
      </c>
      <c r="B9" s="288" t="s">
        <v>784</v>
      </c>
      <c r="C9" s="209">
        <f>[2]FILES!$H$4</f>
        <v>2035</v>
      </c>
      <c r="D9" s="292" t="str">
        <f>[1]!switch_ForecastScenario</f>
        <v>Base</v>
      </c>
    </row>
    <row r="10" spans="1:68">
      <c r="A10" s="287"/>
      <c r="B10" s="287" t="s">
        <v>967</v>
      </c>
      <c r="C10" s="291">
        <f>MIN(SUM(E94:X94),Y94)</f>
        <v>41.185970860882968</v>
      </c>
      <c r="D10" s="210"/>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row>
    <row r="11" spans="1:68" ht="15">
      <c r="A11" s="211" t="s">
        <v>785</v>
      </c>
      <c r="E11" s="212">
        <v>2016</v>
      </c>
      <c r="F11" s="213">
        <v>2017</v>
      </c>
      <c r="G11" s="213">
        <v>2018</v>
      </c>
      <c r="H11" s="213">
        <v>2019</v>
      </c>
      <c r="I11" s="213">
        <v>2020</v>
      </c>
      <c r="J11" s="213">
        <v>2021</v>
      </c>
      <c r="K11" s="213">
        <v>2022</v>
      </c>
      <c r="L11" s="213">
        <v>2023</v>
      </c>
      <c r="M11" s="213">
        <v>2024</v>
      </c>
      <c r="N11" s="213">
        <v>2025</v>
      </c>
      <c r="O11" s="213">
        <v>2026</v>
      </c>
      <c r="P11" s="213">
        <v>2027</v>
      </c>
      <c r="Q11" s="213">
        <v>2028</v>
      </c>
      <c r="R11" s="213">
        <v>2029</v>
      </c>
      <c r="S11" s="213">
        <v>2030</v>
      </c>
      <c r="T11" s="213">
        <v>2031</v>
      </c>
      <c r="U11" s="213">
        <v>2032</v>
      </c>
      <c r="V11" s="213">
        <v>2033</v>
      </c>
      <c r="W11" s="213">
        <v>2034</v>
      </c>
      <c r="X11" s="213">
        <v>2035</v>
      </c>
      <c r="Y11" s="214"/>
      <c r="Z11" s="179"/>
    </row>
    <row r="12" spans="1:68" ht="15">
      <c r="E12" s="215" t="str">
        <f>CONCATENATE("HOMES_",E11)</f>
        <v>HOMES_2016</v>
      </c>
      <c r="F12" s="216" t="str">
        <f t="shared" ref="F12:X12" si="0">CONCATENATE("HOMES_",F11)</f>
        <v>HOMES_2017</v>
      </c>
      <c r="G12" s="216" t="str">
        <f t="shared" si="0"/>
        <v>HOMES_2018</v>
      </c>
      <c r="H12" s="216" t="str">
        <f t="shared" si="0"/>
        <v>HOMES_2019</v>
      </c>
      <c r="I12" s="216" t="str">
        <f t="shared" si="0"/>
        <v>HOMES_2020</v>
      </c>
      <c r="J12" s="216" t="str">
        <f t="shared" si="0"/>
        <v>HOMES_2021</v>
      </c>
      <c r="K12" s="216" t="str">
        <f t="shared" si="0"/>
        <v>HOMES_2022</v>
      </c>
      <c r="L12" s="216" t="str">
        <f t="shared" si="0"/>
        <v>HOMES_2023</v>
      </c>
      <c r="M12" s="216" t="str">
        <f t="shared" si="0"/>
        <v>HOMES_2024</v>
      </c>
      <c r="N12" s="216" t="str">
        <f t="shared" si="0"/>
        <v>HOMES_2025</v>
      </c>
      <c r="O12" s="216" t="str">
        <f t="shared" si="0"/>
        <v>HOMES_2026</v>
      </c>
      <c r="P12" s="216" t="str">
        <f t="shared" si="0"/>
        <v>HOMES_2027</v>
      </c>
      <c r="Q12" s="216" t="str">
        <f t="shared" si="0"/>
        <v>HOMES_2028</v>
      </c>
      <c r="R12" s="216" t="str">
        <f t="shared" si="0"/>
        <v>HOMES_2029</v>
      </c>
      <c r="S12" s="216" t="str">
        <f t="shared" si="0"/>
        <v>HOMES_2030</v>
      </c>
      <c r="T12" s="216" t="str">
        <f t="shared" si="0"/>
        <v>HOMES_2031</v>
      </c>
      <c r="U12" s="216" t="str">
        <f t="shared" si="0"/>
        <v>HOMES_2032</v>
      </c>
      <c r="V12" s="216" t="str">
        <f t="shared" si="0"/>
        <v>HOMES_2033</v>
      </c>
      <c r="W12" s="216" t="str">
        <f t="shared" si="0"/>
        <v>HOMES_2034</v>
      </c>
      <c r="X12" s="216" t="str">
        <f t="shared" si="0"/>
        <v>HOMES_2035</v>
      </c>
      <c r="Y12" s="217"/>
      <c r="Z12" s="179"/>
    </row>
    <row r="13" spans="1:68">
      <c r="C13" s="182" t="s">
        <v>529</v>
      </c>
      <c r="E13" s="165">
        <f>INDEX([1]!tbl_Forecast,MATCH($D$8&amp;$C13&amp;$D$7,[1]!rng_ForecastRowLookup,0),MATCH(E$11,[1]!rng_ForecastColumnLookup,0))</f>
        <v>4203528.2719999999</v>
      </c>
      <c r="F13" s="165">
        <f>INDEX([1]!tbl_Forecast,MATCH($D$8&amp;$C13&amp;$D$7,[1]!rng_ForecastRowLookup,0),MATCH(F$11,[1]!rng_ForecastColumnLookup,0))</f>
        <v>4193982.9785983553</v>
      </c>
      <c r="G13" s="165">
        <f>INDEX([1]!tbl_Forecast,MATCH($D$8&amp;$C13&amp;$D$7,[1]!rng_ForecastRowLookup,0),MATCH(G$11,[1]!rng_ForecastColumnLookup,0))</f>
        <v>4184459.3604704877</v>
      </c>
      <c r="H13" s="165">
        <f>INDEX([1]!tbl_Forecast,MATCH($D$8&amp;$C13&amp;$D$7,[1]!rng_ForecastRowLookup,0),MATCH(H$11,[1]!rng_ForecastColumnLookup,0))</f>
        <v>4174957.36839659</v>
      </c>
      <c r="I13" s="195"/>
      <c r="J13" s="195"/>
      <c r="K13" s="195"/>
      <c r="L13" s="195"/>
      <c r="M13" s="195"/>
      <c r="N13" s="195"/>
      <c r="O13" s="195"/>
      <c r="P13" s="195"/>
      <c r="Q13" s="195"/>
      <c r="R13" s="195"/>
      <c r="S13" s="195"/>
      <c r="T13" s="195"/>
      <c r="U13" s="195"/>
      <c r="V13" s="195"/>
      <c r="W13" s="195"/>
      <c r="X13" s="195"/>
      <c r="Y13" s="195"/>
      <c r="Z13" s="179"/>
    </row>
    <row r="14" spans="1:68">
      <c r="C14" s="182" t="s">
        <v>786</v>
      </c>
      <c r="E14" s="165">
        <f>INDEX([1]!tbl_Forecast,MATCH($D$8&amp;$C14&amp;$D$7,[1]!rng_ForecastRowLookup,0),MATCH(E$11,[1]!rng_ForecastColumnLookup,0))</f>
        <v>926243.25609262148</v>
      </c>
      <c r="F14" s="165">
        <f>INDEX([1]!tbl_Forecast,MATCH($D$8&amp;$C14&amp;$D$7,[1]!rng_ForecastRowLookup,0),MATCH(F$11,[1]!rng_ForecastColumnLookup,0))</f>
        <v>924139.92640956037</v>
      </c>
      <c r="G14" s="165">
        <f>INDEX([1]!tbl_Forecast,MATCH($D$8&amp;$C14&amp;$D$7,[1]!rng_ForecastRowLookup,0),MATCH(G$11,[1]!rng_ForecastColumnLookup,0))</f>
        <v>922041.3730050053</v>
      </c>
      <c r="H14" s="165">
        <f>INDEX([1]!tbl_Forecast,MATCH($D$8&amp;$C14&amp;$D$7,[1]!rng_ForecastRowLookup,0),MATCH(H$11,[1]!rng_ForecastColumnLookup,0))</f>
        <v>919947.58503289847</v>
      </c>
      <c r="I14" s="195"/>
      <c r="J14" s="195"/>
      <c r="K14" s="195"/>
      <c r="L14" s="195"/>
      <c r="M14" s="195"/>
      <c r="N14" s="195"/>
      <c r="O14" s="195"/>
      <c r="P14" s="195"/>
      <c r="Q14" s="195"/>
      <c r="R14" s="195"/>
      <c r="S14" s="195"/>
      <c r="T14" s="195"/>
      <c r="U14" s="195"/>
      <c r="V14" s="195"/>
      <c r="W14" s="195"/>
      <c r="X14" s="195"/>
      <c r="Y14" s="195"/>
      <c r="Z14" s="195"/>
    </row>
    <row r="15" spans="1:68">
      <c r="C15" s="182" t="s">
        <v>787</v>
      </c>
      <c r="E15" s="165">
        <f>INDEX([1]!tbl_Forecast,MATCH($D$8&amp;$C15&amp;$D$7,[1]!rng_ForecastRowLookup,0),MATCH(E$11,[1]!rng_ForecastColumnLookup,0))</f>
        <v>211180.07985625503</v>
      </c>
      <c r="F15" s="165">
        <f>INDEX([1]!tbl_Forecast,MATCH($D$8&amp;$C15&amp;$D$7,[1]!rng_ForecastRowLookup,0),MATCH(F$11,[1]!rng_ForecastColumnLookup,0))</f>
        <v>210700.52836963299</v>
      </c>
      <c r="G15" s="165">
        <f>INDEX([1]!tbl_Forecast,MATCH($D$8&amp;$C15&amp;$D$7,[1]!rng_ForecastRowLookup,0),MATCH(G$11,[1]!rng_ForecastColumnLookup,0))</f>
        <v>210222.06585706791</v>
      </c>
      <c r="H15" s="165">
        <f>INDEX([1]!tbl_Forecast,MATCH($D$8&amp;$C15&amp;$D$7,[1]!rng_ForecastRowLookup,0),MATCH(H$11,[1]!rng_ForecastColumnLookup,0))</f>
        <v>209744.68984569819</v>
      </c>
      <c r="I15" s="195"/>
      <c r="J15" s="195"/>
      <c r="K15" s="195"/>
      <c r="L15" s="195"/>
      <c r="M15" s="195"/>
      <c r="N15" s="195"/>
      <c r="O15" s="195"/>
      <c r="P15" s="195"/>
      <c r="Q15" s="195"/>
      <c r="R15" s="195"/>
      <c r="S15" s="195"/>
      <c r="T15" s="195"/>
      <c r="U15" s="195"/>
      <c r="V15" s="195"/>
      <c r="W15" s="195"/>
      <c r="X15" s="195"/>
      <c r="Y15" s="195"/>
      <c r="Z15" s="195"/>
    </row>
    <row r="16" spans="1:68">
      <c r="C16" s="182" t="s">
        <v>788</v>
      </c>
      <c r="E16" s="165">
        <f>INDEX([1]!tbl_Forecast,MATCH($D$8&amp;$C16&amp;$D$7,[1]!rng_ForecastRowLookup,0),MATCH(E$11,[1]!rng_ForecastColumnLookup,0))</f>
        <v>572006.3278356482</v>
      </c>
      <c r="F16" s="165">
        <f>INDEX([1]!tbl_Forecast,MATCH($D$8&amp;$C16&amp;$D$7,[1]!rng_ForecastRowLookup,0),MATCH(F$11,[1]!rng_ForecastColumnLookup,0))</f>
        <v>565893.30394507048</v>
      </c>
      <c r="G16" s="165">
        <f>INDEX([1]!tbl_Forecast,MATCH($D$8&amp;$C16&amp;$D$7,[1]!rng_ForecastRowLookup,0),MATCH(G$11,[1]!rng_ForecastColumnLookup,0))</f>
        <v>559845.60985814757</v>
      </c>
      <c r="H16" s="165">
        <f>INDEX([1]!tbl_Forecast,MATCH($D$8&amp;$C16&amp;$D$7,[1]!rng_ForecastRowLookup,0),MATCH(H$11,[1]!rng_ForecastColumnLookup,0))</f>
        <v>553862.54739615123</v>
      </c>
      <c r="I16" s="195"/>
      <c r="J16" s="195"/>
      <c r="K16" s="195"/>
      <c r="L16" s="195"/>
      <c r="M16" s="195"/>
      <c r="N16" s="195"/>
      <c r="O16" s="195"/>
      <c r="P16" s="195"/>
      <c r="Q16" s="195"/>
      <c r="R16" s="195"/>
      <c r="S16" s="195"/>
      <c r="T16" s="195"/>
      <c r="U16" s="195"/>
      <c r="V16" s="195"/>
      <c r="W16" s="195"/>
      <c r="X16" s="195"/>
      <c r="Y16" s="195"/>
      <c r="Z16" s="195"/>
    </row>
    <row r="17" spans="1:32">
      <c r="E17" s="195"/>
      <c r="F17" s="195"/>
      <c r="G17" s="195"/>
      <c r="H17" s="195"/>
      <c r="I17" s="195"/>
      <c r="J17" s="195"/>
      <c r="K17" s="195"/>
      <c r="L17" s="195"/>
      <c r="M17" s="195"/>
      <c r="N17" s="195"/>
      <c r="O17" s="195"/>
      <c r="P17" s="195"/>
      <c r="Q17" s="195"/>
      <c r="R17" s="195"/>
      <c r="S17" s="195"/>
      <c r="T17" s="195"/>
      <c r="U17" s="195"/>
      <c r="V17" s="195"/>
      <c r="W17" s="195"/>
      <c r="X17" s="195"/>
      <c r="Y17" s="195"/>
    </row>
    <row r="18" spans="1:32">
      <c r="B18" s="182" t="s">
        <v>789</v>
      </c>
      <c r="C18" s="182" t="s">
        <v>790</v>
      </c>
      <c r="E18" s="195">
        <f t="shared" ref="E18:H18" si="1">SUM(E13:E16)</f>
        <v>5912957.9357845243</v>
      </c>
      <c r="F18" s="195">
        <f t="shared" si="1"/>
        <v>5894716.7373226183</v>
      </c>
      <c r="G18" s="195">
        <f t="shared" si="1"/>
        <v>5876568.4091907088</v>
      </c>
      <c r="H18" s="195">
        <f t="shared" si="1"/>
        <v>5858512.1906713378</v>
      </c>
      <c r="I18" s="195"/>
      <c r="J18" s="195"/>
      <c r="K18" s="195"/>
      <c r="L18" s="195"/>
      <c r="M18" s="195"/>
      <c r="N18" s="195"/>
      <c r="O18" s="195"/>
      <c r="P18" s="195"/>
      <c r="Q18" s="195"/>
      <c r="R18" s="195"/>
      <c r="S18" s="195"/>
      <c r="T18" s="195"/>
      <c r="U18" s="195"/>
      <c r="V18" s="195"/>
      <c r="W18" s="195"/>
      <c r="X18" s="195"/>
      <c r="Y18" s="195"/>
      <c r="Z18" s="195"/>
    </row>
    <row r="19" spans="1:32">
      <c r="E19" s="195"/>
      <c r="F19" s="195"/>
      <c r="G19" s="195"/>
      <c r="H19" s="195"/>
      <c r="I19" s="195"/>
      <c r="J19" s="195"/>
      <c r="K19" s="195"/>
      <c r="L19" s="195"/>
      <c r="M19" s="195"/>
      <c r="N19" s="195"/>
      <c r="O19" s="195"/>
      <c r="P19" s="195"/>
      <c r="Q19" s="195"/>
      <c r="R19" s="195"/>
      <c r="S19" s="195"/>
      <c r="T19" s="195"/>
      <c r="U19" s="195"/>
      <c r="V19" s="195"/>
      <c r="W19" s="195"/>
      <c r="X19" s="195"/>
      <c r="Y19" s="195"/>
    </row>
    <row r="20" spans="1:32">
      <c r="E20" s="195"/>
      <c r="F20" s="195"/>
      <c r="G20" s="195"/>
      <c r="H20" s="195"/>
      <c r="I20" s="195"/>
      <c r="J20" s="195"/>
      <c r="K20" s="195"/>
      <c r="L20" s="195"/>
      <c r="M20" s="195"/>
      <c r="N20" s="195"/>
      <c r="O20" s="195"/>
      <c r="P20" s="195"/>
      <c r="Q20" s="195"/>
      <c r="R20" s="195"/>
      <c r="S20" s="195"/>
      <c r="T20" s="195"/>
      <c r="U20" s="195"/>
      <c r="V20" s="195"/>
      <c r="W20" s="195"/>
      <c r="X20" s="195"/>
      <c r="Y20" s="195"/>
    </row>
    <row r="21" spans="1:32" ht="15">
      <c r="A21" s="211" t="s">
        <v>791</v>
      </c>
      <c r="E21" s="195"/>
      <c r="F21" s="195"/>
      <c r="G21" s="195"/>
      <c r="H21" s="195"/>
      <c r="I21" s="195"/>
      <c r="J21" s="195"/>
      <c r="K21" s="195"/>
      <c r="L21" s="195"/>
      <c r="M21" s="195"/>
      <c r="N21" s="195"/>
      <c r="O21" s="195"/>
      <c r="P21" s="195"/>
      <c r="Q21" s="195"/>
      <c r="R21" s="195"/>
      <c r="S21" s="195"/>
      <c r="T21" s="195"/>
      <c r="U21" s="195"/>
      <c r="V21" s="195"/>
      <c r="W21" s="195"/>
      <c r="X21" s="195"/>
      <c r="Y21" s="195"/>
    </row>
    <row r="22" spans="1:32" ht="15">
      <c r="A22" s="182" t="s">
        <v>792</v>
      </c>
      <c r="E22" s="218">
        <v>1</v>
      </c>
      <c r="F22" s="218">
        <v>2</v>
      </c>
      <c r="G22" s="218">
        <v>3</v>
      </c>
      <c r="H22" s="218">
        <v>4</v>
      </c>
      <c r="I22" s="218">
        <v>5</v>
      </c>
      <c r="J22" s="218">
        <v>6</v>
      </c>
      <c r="K22" s="218">
        <v>7</v>
      </c>
      <c r="L22" s="218">
        <v>8</v>
      </c>
      <c r="M22" s="218">
        <v>9</v>
      </c>
      <c r="N22" s="218">
        <v>10</v>
      </c>
      <c r="O22" s="218">
        <v>11</v>
      </c>
      <c r="P22" s="218">
        <v>12</v>
      </c>
      <c r="Q22" s="218">
        <v>13</v>
      </c>
      <c r="R22" s="218">
        <v>14</v>
      </c>
      <c r="S22" s="218">
        <v>15</v>
      </c>
      <c r="T22" s="218">
        <v>16</v>
      </c>
      <c r="U22" s="218">
        <v>17</v>
      </c>
      <c r="V22" s="218">
        <v>18</v>
      </c>
      <c r="W22" s="218">
        <v>19</v>
      </c>
      <c r="X22" s="218">
        <v>20</v>
      </c>
      <c r="Y22" s="218"/>
    </row>
    <row r="23" spans="1:32">
      <c r="C23" s="182" t="str">
        <f>C13</f>
        <v>Single Family</v>
      </c>
      <c r="E23" s="165">
        <f>INDEX(ResBase,MATCH($D$8&amp;$C23&amp;"New",'[1]Res Forecast (Base Case)'!$B$14:$B$61,0),MATCH(E$11,'[1]Res Forecast (Base Case)'!$AK$12:$BD$12,0)+34)</f>
        <v>62685.758999999998</v>
      </c>
      <c r="F23" s="165">
        <f>INDEX(ResBase,MATCH($D$8&amp;$C23&amp;"New",'[1]Res Forecast (Base Case)'!$B$14:$B$61,0),MATCH(F$11,'[1]Res Forecast (Base Case)'!$AK$12:$BD$12,0)+34)</f>
        <v>59961.781000000003</v>
      </c>
      <c r="G23" s="165">
        <f>INDEX(ResBase,MATCH($D$8&amp;$C23&amp;"New",'[1]Res Forecast (Base Case)'!$B$14:$B$61,0),MATCH(G$11,'[1]Res Forecast (Base Case)'!$AK$12:$BD$12,0)+34)</f>
        <v>56834.012000000002</v>
      </c>
      <c r="H23" s="165">
        <f>INDEX(ResBase,MATCH($D$8&amp;$C23&amp;"New",'[1]Res Forecast (Base Case)'!$B$14:$B$61,0),MATCH(H$11,'[1]Res Forecast (Base Case)'!$AK$12:$BD$12,0)+34)</f>
        <v>54985.192999999999</v>
      </c>
      <c r="I23" s="165"/>
      <c r="J23" s="165"/>
      <c r="K23" s="165"/>
      <c r="L23" s="165"/>
      <c r="M23" s="165"/>
      <c r="N23" s="165"/>
      <c r="O23" s="165"/>
      <c r="P23" s="165"/>
      <c r="Q23" s="165"/>
      <c r="R23" s="165"/>
      <c r="S23" s="165"/>
      <c r="T23" s="165"/>
      <c r="U23" s="165"/>
      <c r="V23" s="165"/>
      <c r="W23" s="165"/>
      <c r="X23" s="165"/>
      <c r="Y23" s="195"/>
      <c r="Z23" s="195"/>
      <c r="AB23" s="195"/>
      <c r="AC23" s="195"/>
      <c r="AD23" s="195"/>
      <c r="AE23" s="195"/>
      <c r="AF23" s="195"/>
    </row>
    <row r="24" spans="1:32">
      <c r="C24" s="182" t="str">
        <f t="shared" ref="C24:C26" si="2">C14</f>
        <v>Multifamily - Low Rise</v>
      </c>
      <c r="E24" s="165">
        <f>INDEX(ResBase,MATCH($D$8&amp;$C24&amp;"New",'[1]Res Forecast (Base Case)'!$B$14:$B$61,0),MATCH(E$11,'[1]Res Forecast (Base Case)'!$AK$12:$BD$12,0)+34)</f>
        <v>23280.347100904564</v>
      </c>
      <c r="F24" s="165">
        <f>INDEX(ResBase,MATCH($D$8&amp;$C24&amp;"New",'[1]Res Forecast (Base Case)'!$B$14:$B$61,0),MATCH(F$11,'[1]Res Forecast (Base Case)'!$AK$12:$BD$12,0)+34)</f>
        <v>23017.418106038647</v>
      </c>
      <c r="G24" s="165">
        <f>INDEX(ResBase,MATCH($D$8&amp;$C24&amp;"New",'[1]Res Forecast (Base Case)'!$B$14:$B$61,0),MATCH(G$11,'[1]Res Forecast (Base Case)'!$AK$12:$BD$12,0)+34)</f>
        <v>22811.60852767331</v>
      </c>
      <c r="H24" s="165">
        <f>INDEX(ResBase,MATCH($D$8&amp;$C24&amp;"New",'[1]Res Forecast (Base Case)'!$B$14:$B$61,0),MATCH(H$11,'[1]Res Forecast (Base Case)'!$AK$12:$BD$12,0)+34)</f>
        <v>22085.916378202593</v>
      </c>
      <c r="I24" s="165"/>
      <c r="J24" s="165"/>
      <c r="K24" s="165"/>
      <c r="L24" s="165"/>
      <c r="M24" s="165"/>
      <c r="N24" s="165"/>
      <c r="O24" s="165"/>
      <c r="P24" s="165"/>
      <c r="Q24" s="165"/>
      <c r="R24" s="165"/>
      <c r="S24" s="165"/>
      <c r="T24" s="165"/>
      <c r="U24" s="165"/>
      <c r="V24" s="165"/>
      <c r="W24" s="165"/>
      <c r="X24" s="165"/>
      <c r="Y24" s="195"/>
      <c r="Z24" s="195"/>
      <c r="AB24" s="195"/>
      <c r="AC24" s="195"/>
      <c r="AD24" s="195"/>
      <c r="AE24" s="195"/>
      <c r="AF24" s="195"/>
    </row>
    <row r="25" spans="1:32">
      <c r="C25" s="182" t="str">
        <f t="shared" si="2"/>
        <v>Multifamily - High Rise</v>
      </c>
      <c r="E25" s="165">
        <f>INDEX(ResBase,MATCH($D$8&amp;$C25&amp;"New",'[1]Res Forecast (Base Case)'!$B$14:$B$61,0),MATCH(E$11,'[1]Res Forecast (Base Case)'!$AK$12:$BD$12,0)+34)</f>
        <v>5226.2387411561367</v>
      </c>
      <c r="F25" s="165">
        <f>INDEX(ResBase,MATCH($D$8&amp;$C25&amp;"New",'[1]Res Forecast (Base Case)'!$B$14:$B$61,0),MATCH(F$11,'[1]Res Forecast (Base Case)'!$AK$12:$BD$12,0)+34)</f>
        <v>5239.95312759432</v>
      </c>
      <c r="G25" s="165">
        <f>INDEX(ResBase,MATCH($D$8&amp;$C25&amp;"New",'[1]Res Forecast (Base Case)'!$B$14:$B$61,0),MATCH(G$11,'[1]Res Forecast (Base Case)'!$AK$12:$BD$12,0)+34)</f>
        <v>5271.2612760989568</v>
      </c>
      <c r="H25" s="165">
        <f>INDEX(ResBase,MATCH($D$8&amp;$C25&amp;"New",'[1]Res Forecast (Base Case)'!$B$14:$B$61,0),MATCH(H$11,'[1]Res Forecast (Base Case)'!$AK$12:$BD$12,0)+34)</f>
        <v>4985.883552972361</v>
      </c>
      <c r="I25" s="165"/>
      <c r="J25" s="165"/>
      <c r="K25" s="165"/>
      <c r="L25" s="165"/>
      <c r="M25" s="165"/>
      <c r="N25" s="165"/>
      <c r="O25" s="165"/>
      <c r="P25" s="165"/>
      <c r="Q25" s="165"/>
      <c r="R25" s="165"/>
      <c r="S25" s="165"/>
      <c r="T25" s="165"/>
      <c r="U25" s="165"/>
      <c r="V25" s="165"/>
      <c r="W25" s="165"/>
      <c r="X25" s="165"/>
      <c r="Y25" s="195"/>
      <c r="Z25" s="195"/>
      <c r="AB25" s="195"/>
      <c r="AC25" s="195"/>
      <c r="AD25" s="195"/>
      <c r="AE25" s="195"/>
      <c r="AF25" s="195"/>
    </row>
    <row r="26" spans="1:32">
      <c r="C26" s="182" t="str">
        <f t="shared" si="2"/>
        <v>Manufactured</v>
      </c>
      <c r="E26" s="165">
        <f>INDEX(ResBase,MATCH($D$8&amp;$C26&amp;"New",'[1]Res Forecast (Base Case)'!$B$14:$B$61,0),MATCH(E$11,'[1]Res Forecast (Base Case)'!$AK$12:$BD$12,0)+34)</f>
        <v>1869.5754050925925</v>
      </c>
      <c r="F26" s="165">
        <f>INDEX(ResBase,MATCH($D$8&amp;$C26&amp;"New",'[1]Res Forecast (Base Case)'!$B$14:$B$61,0),MATCH(F$11,'[1]Res Forecast (Base Case)'!$AK$12:$BD$12,0)+34)</f>
        <v>1881.796305941358</v>
      </c>
      <c r="G26" s="165">
        <f>INDEX(ResBase,MATCH($D$8&amp;$C26&amp;"New",'[1]Res Forecast (Base Case)'!$B$14:$B$61,0),MATCH(G$11,'[1]Res Forecast (Base Case)'!$AK$12:$BD$12,0)+34)</f>
        <v>1949.1340235982509</v>
      </c>
      <c r="H26" s="165">
        <f>INDEX(ResBase,MATCH($D$8&amp;$C26&amp;"New",'[1]Res Forecast (Base Case)'!$B$14:$B$61,0),MATCH(H$11,'[1]Res Forecast (Base Case)'!$AK$12:$BD$12,0)+34)</f>
        <v>2021.1963608646258</v>
      </c>
      <c r="I26" s="165"/>
      <c r="J26" s="165"/>
      <c r="K26" s="165"/>
      <c r="L26" s="165"/>
      <c r="M26" s="165"/>
      <c r="N26" s="165"/>
      <c r="O26" s="165"/>
      <c r="P26" s="165"/>
      <c r="Q26" s="165"/>
      <c r="R26" s="165"/>
      <c r="S26" s="165"/>
      <c r="T26" s="165"/>
      <c r="U26" s="165"/>
      <c r="V26" s="165"/>
      <c r="W26" s="165"/>
      <c r="X26" s="165"/>
      <c r="Y26" s="195"/>
      <c r="Z26" s="195"/>
      <c r="AB26" s="195"/>
      <c r="AC26" s="195"/>
      <c r="AD26" s="195"/>
      <c r="AE26" s="195"/>
      <c r="AF26" s="195"/>
    </row>
    <row r="27" spans="1:32">
      <c r="E27" s="195"/>
      <c r="F27" s="195"/>
      <c r="G27" s="195"/>
      <c r="H27" s="195"/>
      <c r="I27" s="195"/>
      <c r="J27" s="195"/>
      <c r="K27" s="195"/>
      <c r="L27" s="195"/>
      <c r="M27" s="195"/>
      <c r="N27" s="195"/>
      <c r="O27" s="195"/>
      <c r="P27" s="195"/>
      <c r="Q27" s="195"/>
      <c r="R27" s="195"/>
      <c r="S27" s="195"/>
      <c r="T27" s="195"/>
      <c r="U27" s="195"/>
      <c r="V27" s="195"/>
      <c r="W27" s="195"/>
      <c r="X27" s="195"/>
      <c r="Y27" s="195"/>
      <c r="Z27" s="195"/>
      <c r="AB27" s="195"/>
      <c r="AC27" s="195"/>
      <c r="AD27" s="195"/>
      <c r="AE27" s="195"/>
      <c r="AF27" s="195"/>
    </row>
    <row r="28" spans="1:32">
      <c r="C28" s="182" t="s">
        <v>793</v>
      </c>
      <c r="E28" s="195">
        <f t="shared" ref="E28:H28" si="3">SUM(E23:E26)</f>
        <v>93061.920247153292</v>
      </c>
      <c r="F28" s="195">
        <f t="shared" si="3"/>
        <v>90100.948539574325</v>
      </c>
      <c r="G28" s="195">
        <f t="shared" si="3"/>
        <v>86866.015827370516</v>
      </c>
      <c r="H28" s="195">
        <f t="shared" si="3"/>
        <v>84078.189292039577</v>
      </c>
      <c r="I28" s="195"/>
      <c r="J28" s="195"/>
      <c r="K28" s="195"/>
      <c r="L28" s="195"/>
      <c r="M28" s="195"/>
      <c r="N28" s="195"/>
      <c r="O28" s="195"/>
      <c r="P28" s="195"/>
      <c r="Q28" s="195"/>
      <c r="R28" s="195"/>
      <c r="S28" s="195"/>
      <c r="T28" s="195"/>
      <c r="U28" s="195"/>
      <c r="V28" s="195"/>
      <c r="W28" s="195"/>
      <c r="X28" s="195"/>
      <c r="Y28" s="195"/>
      <c r="Z28" s="195"/>
      <c r="AB28" s="195"/>
      <c r="AC28" s="195"/>
      <c r="AD28" s="195"/>
      <c r="AE28" s="195"/>
      <c r="AF28" s="195"/>
    </row>
    <row r="29" spans="1:32">
      <c r="E29" s="195"/>
      <c r="F29" s="195"/>
      <c r="G29" s="195"/>
      <c r="H29" s="195"/>
      <c r="I29" s="195"/>
      <c r="J29" s="195"/>
      <c r="K29" s="195"/>
      <c r="L29" s="195"/>
      <c r="M29" s="195"/>
      <c r="N29" s="195"/>
      <c r="O29" s="195"/>
      <c r="P29" s="195"/>
      <c r="Q29" s="195"/>
      <c r="R29" s="195"/>
      <c r="S29" s="195"/>
      <c r="T29" s="195"/>
      <c r="U29" s="195"/>
      <c r="V29" s="195"/>
      <c r="W29" s="195"/>
      <c r="X29" s="195"/>
      <c r="Y29" s="195"/>
    </row>
    <row r="30" spans="1:32">
      <c r="E30" s="195"/>
      <c r="F30" s="195"/>
      <c r="G30" s="195"/>
      <c r="H30" s="195"/>
      <c r="I30" s="195"/>
      <c r="J30" s="195"/>
      <c r="K30" s="195"/>
      <c r="L30" s="195"/>
      <c r="M30" s="195"/>
      <c r="N30" s="195"/>
      <c r="O30" s="195"/>
      <c r="P30" s="195"/>
      <c r="Q30" s="195"/>
      <c r="R30" s="195"/>
      <c r="S30" s="195"/>
      <c r="T30" s="195"/>
      <c r="U30" s="195"/>
      <c r="V30" s="195"/>
      <c r="W30" s="195"/>
      <c r="X30" s="195"/>
      <c r="Y30" s="195"/>
    </row>
    <row r="31" spans="1:32" ht="15">
      <c r="A31" s="211" t="s">
        <v>794</v>
      </c>
      <c r="E31" s="195"/>
      <c r="F31" s="195"/>
      <c r="G31" s="195"/>
      <c r="H31" s="195"/>
      <c r="I31" s="195"/>
      <c r="J31" s="195"/>
      <c r="K31" s="195"/>
      <c r="L31" s="195"/>
      <c r="M31" s="195"/>
      <c r="N31" s="195"/>
      <c r="O31" s="195"/>
      <c r="P31" s="195"/>
      <c r="Q31" s="195"/>
      <c r="R31" s="195"/>
      <c r="S31" s="195"/>
      <c r="T31" s="195"/>
      <c r="U31" s="195"/>
      <c r="V31" s="195"/>
      <c r="W31" s="195"/>
      <c r="X31" s="195"/>
      <c r="Y31" s="195"/>
      <c r="Z31" s="219">
        <v>0.85</v>
      </c>
    </row>
    <row r="32" spans="1:32">
      <c r="E32" s="195">
        <v>2</v>
      </c>
      <c r="F32" s="195">
        <v>3</v>
      </c>
      <c r="G32" s="195">
        <v>4</v>
      </c>
      <c r="H32" s="195">
        <v>5</v>
      </c>
      <c r="I32" s="195">
        <v>6</v>
      </c>
      <c r="J32" s="195">
        <v>7</v>
      </c>
      <c r="K32" s="195">
        <v>8</v>
      </c>
      <c r="L32" s="195">
        <v>9</v>
      </c>
      <c r="M32" s="195">
        <v>10</v>
      </c>
      <c r="N32" s="195">
        <v>11</v>
      </c>
      <c r="O32" s="195">
        <v>12</v>
      </c>
      <c r="P32" s="195">
        <v>13</v>
      </c>
      <c r="Q32" s="195">
        <v>14</v>
      </c>
      <c r="R32" s="195">
        <v>15</v>
      </c>
      <c r="S32" s="195">
        <v>16</v>
      </c>
      <c r="T32" s="195">
        <v>17</v>
      </c>
      <c r="U32" s="195">
        <v>18</v>
      </c>
      <c r="V32" s="195">
        <v>19</v>
      </c>
      <c r="W32" s="195">
        <v>20</v>
      </c>
      <c r="X32" s="195">
        <v>21</v>
      </c>
      <c r="Y32" s="195"/>
      <c r="Z32" s="220" t="s">
        <v>795</v>
      </c>
    </row>
    <row r="33" spans="1:30">
      <c r="C33" s="182" t="str">
        <f>C13</f>
        <v>Single Family</v>
      </c>
      <c r="E33" s="195">
        <f>SUM(E13,E23)</f>
        <v>4266214.0309999995</v>
      </c>
      <c r="F33" s="195">
        <f t="shared" ref="F33:X36" si="4">SUM(F13,F23)</f>
        <v>4253944.7595983557</v>
      </c>
      <c r="G33" s="195">
        <f t="shared" si="4"/>
        <v>4241293.3724704878</v>
      </c>
      <c r="H33" s="195">
        <f t="shared" si="4"/>
        <v>4229942.5613965904</v>
      </c>
      <c r="I33" s="195">
        <f t="shared" si="4"/>
        <v>0</v>
      </c>
      <c r="J33" s="195">
        <f t="shared" si="4"/>
        <v>0</v>
      </c>
      <c r="K33" s="195">
        <f t="shared" si="4"/>
        <v>0</v>
      </c>
      <c r="L33" s="195">
        <f t="shared" si="4"/>
        <v>0</v>
      </c>
      <c r="M33" s="195">
        <f t="shared" si="4"/>
        <v>0</v>
      </c>
      <c r="N33" s="195">
        <f t="shared" si="4"/>
        <v>0</v>
      </c>
      <c r="O33" s="195">
        <f t="shared" si="4"/>
        <v>0</v>
      </c>
      <c r="P33" s="195">
        <f t="shared" si="4"/>
        <v>0</v>
      </c>
      <c r="Q33" s="195">
        <f t="shared" si="4"/>
        <v>0</v>
      </c>
      <c r="R33" s="195">
        <f t="shared" si="4"/>
        <v>0</v>
      </c>
      <c r="S33" s="195">
        <f>SUM(S13,S23)</f>
        <v>0</v>
      </c>
      <c r="T33" s="195">
        <f t="shared" si="4"/>
        <v>0</v>
      </c>
      <c r="U33" s="195">
        <f t="shared" si="4"/>
        <v>0</v>
      </c>
      <c r="V33" s="195">
        <f t="shared" si="4"/>
        <v>0</v>
      </c>
      <c r="W33" s="195">
        <f t="shared" si="4"/>
        <v>0</v>
      </c>
      <c r="X33" s="195">
        <f t="shared" si="4"/>
        <v>0</v>
      </c>
      <c r="Y33" s="195"/>
      <c r="Z33" s="221">
        <f>INDEX(E33:Y33,1,MATCH($C$9,$E$11:$Y$11,0))*$Z$31*A43*B43</f>
        <v>0</v>
      </c>
    </row>
    <row r="34" spans="1:30">
      <c r="C34" s="182" t="str">
        <f t="shared" ref="C34:C36" si="5">C14</f>
        <v>Multifamily - Low Rise</v>
      </c>
      <c r="E34" s="195">
        <f>SUM(E14,E24)</f>
        <v>949523.60319352604</v>
      </c>
      <c r="F34" s="195">
        <f t="shared" si="4"/>
        <v>947157.34451559908</v>
      </c>
      <c r="G34" s="195">
        <f t="shared" si="4"/>
        <v>944852.98153267859</v>
      </c>
      <c r="H34" s="195">
        <f t="shared" si="4"/>
        <v>942033.50141110108</v>
      </c>
      <c r="I34" s="195">
        <f t="shared" si="4"/>
        <v>0</v>
      </c>
      <c r="J34" s="195">
        <f t="shared" si="4"/>
        <v>0</v>
      </c>
      <c r="K34" s="195">
        <f t="shared" si="4"/>
        <v>0</v>
      </c>
      <c r="L34" s="195">
        <f t="shared" si="4"/>
        <v>0</v>
      </c>
      <c r="M34" s="195">
        <f t="shared" si="4"/>
        <v>0</v>
      </c>
      <c r="N34" s="195">
        <f t="shared" si="4"/>
        <v>0</v>
      </c>
      <c r="O34" s="195">
        <f t="shared" si="4"/>
        <v>0</v>
      </c>
      <c r="P34" s="195">
        <f t="shared" si="4"/>
        <v>0</v>
      </c>
      <c r="Q34" s="195">
        <f t="shared" si="4"/>
        <v>0</v>
      </c>
      <c r="R34" s="195">
        <f t="shared" si="4"/>
        <v>0</v>
      </c>
      <c r="S34" s="195">
        <f t="shared" si="4"/>
        <v>0</v>
      </c>
      <c r="T34" s="195">
        <f t="shared" si="4"/>
        <v>0</v>
      </c>
      <c r="U34" s="195">
        <f t="shared" si="4"/>
        <v>0</v>
      </c>
      <c r="V34" s="195">
        <f t="shared" si="4"/>
        <v>0</v>
      </c>
      <c r="W34" s="195">
        <f t="shared" si="4"/>
        <v>0</v>
      </c>
      <c r="X34" s="195">
        <f t="shared" si="4"/>
        <v>0</v>
      </c>
      <c r="Y34" s="195"/>
      <c r="Z34" s="221">
        <f>INDEX(E34:Y34,1,MATCH($C$9,$E$11:$Y$11,0))*$Z$31*A44*B44</f>
        <v>0</v>
      </c>
    </row>
    <row r="35" spans="1:30">
      <c r="C35" s="182" t="str">
        <f t="shared" si="5"/>
        <v>Multifamily - High Rise</v>
      </c>
      <c r="E35" s="195">
        <f>SUM(E15,E25)</f>
        <v>216406.31859741118</v>
      </c>
      <c r="F35" s="195">
        <f t="shared" si="4"/>
        <v>215940.4814972273</v>
      </c>
      <c r="G35" s="195">
        <f t="shared" si="4"/>
        <v>215493.32713316687</v>
      </c>
      <c r="H35" s="195">
        <f t="shared" si="4"/>
        <v>214730.57339867056</v>
      </c>
      <c r="I35" s="195">
        <f t="shared" si="4"/>
        <v>0</v>
      </c>
      <c r="J35" s="195">
        <f t="shared" si="4"/>
        <v>0</v>
      </c>
      <c r="K35" s="195">
        <f t="shared" si="4"/>
        <v>0</v>
      </c>
      <c r="L35" s="195">
        <f t="shared" si="4"/>
        <v>0</v>
      </c>
      <c r="M35" s="195">
        <f t="shared" si="4"/>
        <v>0</v>
      </c>
      <c r="N35" s="195">
        <f t="shared" si="4"/>
        <v>0</v>
      </c>
      <c r="O35" s="195">
        <f t="shared" si="4"/>
        <v>0</v>
      </c>
      <c r="P35" s="195">
        <f t="shared" si="4"/>
        <v>0</v>
      </c>
      <c r="Q35" s="195">
        <f t="shared" si="4"/>
        <v>0</v>
      </c>
      <c r="R35" s="195">
        <f t="shared" si="4"/>
        <v>0</v>
      </c>
      <c r="S35" s="195">
        <f t="shared" si="4"/>
        <v>0</v>
      </c>
      <c r="T35" s="195">
        <f t="shared" si="4"/>
        <v>0</v>
      </c>
      <c r="U35" s="195">
        <f t="shared" si="4"/>
        <v>0</v>
      </c>
      <c r="V35" s="195">
        <f t="shared" si="4"/>
        <v>0</v>
      </c>
      <c r="W35" s="195">
        <f t="shared" si="4"/>
        <v>0</v>
      </c>
      <c r="X35" s="195">
        <f t="shared" si="4"/>
        <v>0</v>
      </c>
      <c r="Y35" s="195"/>
      <c r="Z35" s="221">
        <f t="shared" ref="Z35:Z36" si="6">INDEX(E35:Y35,1,MATCH($C$9,$E$11:$Y$11,0))*$Z$31*A45*B45</f>
        <v>0</v>
      </c>
    </row>
    <row r="36" spans="1:30">
      <c r="C36" s="182" t="str">
        <f t="shared" si="5"/>
        <v>Manufactured</v>
      </c>
      <c r="E36" s="195">
        <f>SUM(E16,E26)</f>
        <v>573875.90324074076</v>
      </c>
      <c r="F36" s="195">
        <f t="shared" si="4"/>
        <v>567775.10025101178</v>
      </c>
      <c r="G36" s="195">
        <f t="shared" si="4"/>
        <v>561794.74388174585</v>
      </c>
      <c r="H36" s="195">
        <f t="shared" si="4"/>
        <v>555883.74375701591</v>
      </c>
      <c r="I36" s="195">
        <f t="shared" si="4"/>
        <v>0</v>
      </c>
      <c r="J36" s="195">
        <f t="shared" si="4"/>
        <v>0</v>
      </c>
      <c r="K36" s="195">
        <f t="shared" si="4"/>
        <v>0</v>
      </c>
      <c r="L36" s="195">
        <f t="shared" si="4"/>
        <v>0</v>
      </c>
      <c r="M36" s="195">
        <f t="shared" si="4"/>
        <v>0</v>
      </c>
      <c r="N36" s="195">
        <f t="shared" si="4"/>
        <v>0</v>
      </c>
      <c r="O36" s="195">
        <f t="shared" si="4"/>
        <v>0</v>
      </c>
      <c r="P36" s="195">
        <f t="shared" si="4"/>
        <v>0</v>
      </c>
      <c r="Q36" s="195">
        <f t="shared" si="4"/>
        <v>0</v>
      </c>
      <c r="R36" s="195">
        <f t="shared" si="4"/>
        <v>0</v>
      </c>
      <c r="S36" s="195">
        <f t="shared" si="4"/>
        <v>0</v>
      </c>
      <c r="T36" s="195">
        <f t="shared" si="4"/>
        <v>0</v>
      </c>
      <c r="U36" s="195">
        <f t="shared" si="4"/>
        <v>0</v>
      </c>
      <c r="V36" s="195">
        <f t="shared" si="4"/>
        <v>0</v>
      </c>
      <c r="W36" s="195">
        <f t="shared" si="4"/>
        <v>0</v>
      </c>
      <c r="X36" s="195">
        <f t="shared" si="4"/>
        <v>0</v>
      </c>
      <c r="Y36" s="195"/>
      <c r="Z36" s="221">
        <f t="shared" si="6"/>
        <v>0</v>
      </c>
    </row>
    <row r="37" spans="1:30">
      <c r="E37" s="195"/>
      <c r="F37" s="195"/>
      <c r="G37" s="195"/>
      <c r="H37" s="195"/>
      <c r="I37" s="195"/>
      <c r="J37" s="195"/>
      <c r="K37" s="195"/>
      <c r="L37" s="195"/>
      <c r="M37" s="195"/>
      <c r="N37" s="195"/>
      <c r="O37" s="195"/>
      <c r="P37" s="195"/>
      <c r="Q37" s="195"/>
      <c r="R37" s="195"/>
      <c r="S37" s="195"/>
      <c r="T37" s="195"/>
      <c r="U37" s="195"/>
      <c r="V37" s="195"/>
      <c r="W37" s="195"/>
      <c r="X37" s="195"/>
      <c r="Y37" s="195"/>
    </row>
    <row r="38" spans="1:30">
      <c r="E38" s="195">
        <f t="shared" ref="E38:Z38" si="7">SUM(E33:E36)</f>
        <v>6006019.8560316768</v>
      </c>
      <c r="F38" s="195">
        <f t="shared" si="7"/>
        <v>5984817.6858621938</v>
      </c>
      <c r="G38" s="195">
        <f t="shared" si="7"/>
        <v>5963434.4250180796</v>
      </c>
      <c r="H38" s="195">
        <f t="shared" si="7"/>
        <v>5942590.3799633775</v>
      </c>
      <c r="I38" s="195">
        <f t="shared" si="7"/>
        <v>0</v>
      </c>
      <c r="J38" s="195">
        <f t="shared" si="7"/>
        <v>0</v>
      </c>
      <c r="K38" s="195">
        <f t="shared" si="7"/>
        <v>0</v>
      </c>
      <c r="L38" s="195">
        <f t="shared" si="7"/>
        <v>0</v>
      </c>
      <c r="M38" s="195">
        <f t="shared" si="7"/>
        <v>0</v>
      </c>
      <c r="N38" s="195">
        <f t="shared" si="7"/>
        <v>0</v>
      </c>
      <c r="O38" s="195">
        <f t="shared" si="7"/>
        <v>0</v>
      </c>
      <c r="P38" s="195">
        <f t="shared" si="7"/>
        <v>0</v>
      </c>
      <c r="Q38" s="195">
        <f t="shared" si="7"/>
        <v>0</v>
      </c>
      <c r="R38" s="195">
        <f t="shared" si="7"/>
        <v>0</v>
      </c>
      <c r="S38" s="195">
        <f t="shared" si="7"/>
        <v>0</v>
      </c>
      <c r="T38" s="195">
        <f t="shared" si="7"/>
        <v>0</v>
      </c>
      <c r="U38" s="195">
        <f t="shared" si="7"/>
        <v>0</v>
      </c>
      <c r="V38" s="195">
        <f t="shared" si="7"/>
        <v>0</v>
      </c>
      <c r="W38" s="195">
        <f t="shared" si="7"/>
        <v>0</v>
      </c>
      <c r="X38" s="195">
        <f t="shared" si="7"/>
        <v>0</v>
      </c>
      <c r="Y38" s="195"/>
      <c r="Z38" s="195">
        <f t="shared" si="7"/>
        <v>0</v>
      </c>
    </row>
    <row r="39" spans="1:30">
      <c r="E39" s="195"/>
      <c r="F39" s="195"/>
      <c r="G39" s="195"/>
      <c r="H39" s="195"/>
      <c r="I39" s="195"/>
      <c r="J39" s="195"/>
      <c r="K39" s="195"/>
      <c r="L39" s="195"/>
      <c r="M39" s="195"/>
      <c r="N39" s="195"/>
      <c r="O39" s="195"/>
      <c r="P39" s="195"/>
      <c r="Q39" s="195"/>
      <c r="R39" s="195"/>
      <c r="S39" s="195"/>
      <c r="T39" s="195"/>
      <c r="U39" s="195"/>
      <c r="V39" s="195"/>
      <c r="W39" s="195"/>
      <c r="X39" s="195"/>
      <c r="Y39" s="195"/>
    </row>
    <row r="40" spans="1:30">
      <c r="E40" s="195"/>
      <c r="F40" s="195"/>
      <c r="G40" s="195"/>
      <c r="H40" s="195"/>
      <c r="I40" s="195"/>
      <c r="J40" s="195"/>
      <c r="K40" s="195"/>
      <c r="L40" s="195"/>
      <c r="M40" s="195"/>
      <c r="N40" s="195"/>
      <c r="O40" s="195"/>
      <c r="P40" s="195"/>
      <c r="Q40" s="195"/>
      <c r="R40" s="195"/>
      <c r="S40" s="195"/>
      <c r="T40" s="195"/>
      <c r="U40" s="195"/>
      <c r="V40" s="195"/>
      <c r="W40" s="195"/>
      <c r="X40" s="195"/>
      <c r="Y40" s="195"/>
    </row>
    <row r="41" spans="1:30" ht="15">
      <c r="A41" s="222" t="s">
        <v>796</v>
      </c>
      <c r="B41" s="222"/>
      <c r="E41" s="206"/>
      <c r="F41" s="206"/>
      <c r="G41" s="195"/>
      <c r="H41" s="195"/>
      <c r="I41" s="195"/>
      <c r="J41" s="195"/>
      <c r="K41" s="195"/>
      <c r="L41" s="195"/>
      <c r="M41" s="195"/>
      <c r="N41" s="195"/>
      <c r="O41" s="195"/>
      <c r="P41" s="195"/>
      <c r="Q41" s="195"/>
      <c r="R41" s="195"/>
      <c r="S41" s="195"/>
      <c r="T41" s="195"/>
      <c r="U41" s="195"/>
      <c r="V41" s="195"/>
      <c r="W41" s="195"/>
      <c r="X41" s="195"/>
      <c r="Y41" s="195"/>
    </row>
    <row r="42" spans="1:30" ht="15">
      <c r="A42" s="218" t="s">
        <v>797</v>
      </c>
      <c r="B42" s="218" t="s">
        <v>798</v>
      </c>
      <c r="C42" s="218" t="s">
        <v>799</v>
      </c>
      <c r="D42" s="218" t="str">
        <f>CONCATENATE(C8," - ",C7)</f>
        <v>Lighting - PPA</v>
      </c>
      <c r="E42" s="223">
        <v>2016</v>
      </c>
      <c r="F42" s="224">
        <v>2017</v>
      </c>
      <c r="G42" s="224">
        <v>2018</v>
      </c>
      <c r="H42" s="224">
        <v>2019</v>
      </c>
      <c r="I42" s="224">
        <v>2020</v>
      </c>
      <c r="J42" s="224">
        <v>2021</v>
      </c>
      <c r="K42" s="224">
        <v>2022</v>
      </c>
      <c r="L42" s="224">
        <v>2023</v>
      </c>
      <c r="M42" s="224">
        <v>2024</v>
      </c>
      <c r="N42" s="224">
        <v>2025</v>
      </c>
      <c r="O42" s="224">
        <v>2026</v>
      </c>
      <c r="P42" s="224">
        <v>2027</v>
      </c>
      <c r="Q42" s="224">
        <v>2028</v>
      </c>
      <c r="R42" s="224">
        <v>2029</v>
      </c>
      <c r="S42" s="224">
        <v>2030</v>
      </c>
      <c r="T42" s="224">
        <v>2031</v>
      </c>
      <c r="U42" s="224">
        <v>2032</v>
      </c>
      <c r="V42" s="224">
        <v>2033</v>
      </c>
      <c r="W42" s="224">
        <v>2034</v>
      </c>
      <c r="X42" s="224">
        <v>2035</v>
      </c>
      <c r="Y42" s="225"/>
    </row>
    <row r="43" spans="1:30">
      <c r="A43" s="226">
        <f>INDEX([2]!ResApplic,MATCH($D$42,[2]APPLIC!$B$9:$B$120,0)+1,MATCH($D43,[2]APPLIC!$C$8:$F$8,0)+1)</f>
        <v>1</v>
      </c>
      <c r="B43" s="227">
        <f>VLOOKUP($C$8,[2]!ExistingSat,MATCH($D43,[2]SATS!$C$10:$F$10,0)+1,FALSE)</f>
        <v>63</v>
      </c>
      <c r="C43" s="226">
        <f>1/AVERAGE('SavingsData&amp;Analysis'!$V$7:$V$9)</f>
        <v>0.2890713264382142</v>
      </c>
      <c r="D43" s="182" t="str">
        <f>C13</f>
        <v>Single Family</v>
      </c>
      <c r="E43" s="195">
        <f>E13*$C43*$A43*$B43</f>
        <v>76552528.078377187</v>
      </c>
      <c r="F43" s="195">
        <f t="shared" ref="F43:X46" si="8">F13*$C43*$A43*$B43</f>
        <v>76378694.029011309</v>
      </c>
      <c r="G43" s="195">
        <f t="shared" si="8"/>
        <v>76205254.718754351</v>
      </c>
      <c r="H43" s="195">
        <f t="shared" si="8"/>
        <v>76032209.25124009</v>
      </c>
      <c r="I43" s="195">
        <f t="shared" si="8"/>
        <v>0</v>
      </c>
      <c r="J43" s="195">
        <f t="shared" si="8"/>
        <v>0</v>
      </c>
      <c r="K43" s="195">
        <f t="shared" si="8"/>
        <v>0</v>
      </c>
      <c r="L43" s="195">
        <f t="shared" si="8"/>
        <v>0</v>
      </c>
      <c r="M43" s="195">
        <f t="shared" si="8"/>
        <v>0</v>
      </c>
      <c r="N43" s="195">
        <f t="shared" si="8"/>
        <v>0</v>
      </c>
      <c r="O43" s="195">
        <f t="shared" si="8"/>
        <v>0</v>
      </c>
      <c r="P43" s="195">
        <f t="shared" si="8"/>
        <v>0</v>
      </c>
      <c r="Q43" s="195">
        <f t="shared" si="8"/>
        <v>0</v>
      </c>
      <c r="R43" s="195">
        <f t="shared" si="8"/>
        <v>0</v>
      </c>
      <c r="S43" s="195">
        <f t="shared" si="8"/>
        <v>0</v>
      </c>
      <c r="T43" s="195">
        <f t="shared" si="8"/>
        <v>0</v>
      </c>
      <c r="U43" s="195">
        <f t="shared" si="8"/>
        <v>0</v>
      </c>
      <c r="V43" s="195">
        <f t="shared" si="8"/>
        <v>0</v>
      </c>
      <c r="W43" s="195">
        <f t="shared" si="8"/>
        <v>0</v>
      </c>
      <c r="X43" s="195">
        <f t="shared" si="8"/>
        <v>0</v>
      </c>
      <c r="Y43" s="195"/>
      <c r="Z43" s="165">
        <f>H13*A43*B43*$Z$31</f>
        <v>223568967.0776374</v>
      </c>
      <c r="AD43" s="195"/>
    </row>
    <row r="44" spans="1:30">
      <c r="A44" s="226">
        <f>INDEX([2]!ResApplic,MATCH($D$42,[2]APPLIC!$B$9:$B$120,0)+1,MATCH($D44,[2]APPLIC!$C$8:$F$8,0)+1)</f>
        <v>1</v>
      </c>
      <c r="B44" s="227">
        <f>VLOOKUP($C$8,[2]!ExistingSat,MATCH($D44,[2]SATS!$C$10:$F$10,0)+1,FALSE)</f>
        <v>23</v>
      </c>
      <c r="C44" s="226">
        <f>1/AVERAGE('SavingsData&amp;Analysis'!$V$7:$V$9)</f>
        <v>0.2890713264382142</v>
      </c>
      <c r="D44" s="182" t="str">
        <f t="shared" ref="D44:D46" si="9">C14</f>
        <v>Multifamily - Low Rise</v>
      </c>
      <c r="E44" s="195">
        <f t="shared" ref="E44:T45" si="10">E14*$C44*$A44*$B44</f>
        <v>6158258.4327923264</v>
      </c>
      <c r="F44" s="195">
        <f t="shared" si="10"/>
        <v>6144274.1498596817</v>
      </c>
      <c r="G44" s="195">
        <f t="shared" si="10"/>
        <v>6130321.6226857891</v>
      </c>
      <c r="H44" s="195">
        <f t="shared" si="10"/>
        <v>6116400.779159111</v>
      </c>
      <c r="I44" s="195">
        <f t="shared" si="10"/>
        <v>0</v>
      </c>
      <c r="J44" s="195">
        <f t="shared" si="10"/>
        <v>0</v>
      </c>
      <c r="K44" s="195">
        <f t="shared" si="10"/>
        <v>0</v>
      </c>
      <c r="L44" s="195">
        <f t="shared" si="10"/>
        <v>0</v>
      </c>
      <c r="M44" s="195">
        <f t="shared" si="10"/>
        <v>0</v>
      </c>
      <c r="N44" s="195">
        <f t="shared" si="10"/>
        <v>0</v>
      </c>
      <c r="O44" s="195">
        <f t="shared" si="10"/>
        <v>0</v>
      </c>
      <c r="P44" s="195">
        <f t="shared" si="10"/>
        <v>0</v>
      </c>
      <c r="Q44" s="195">
        <f t="shared" si="10"/>
        <v>0</v>
      </c>
      <c r="R44" s="195">
        <f t="shared" si="10"/>
        <v>0</v>
      </c>
      <c r="S44" s="195">
        <f t="shared" si="10"/>
        <v>0</v>
      </c>
      <c r="T44" s="195">
        <f t="shared" si="10"/>
        <v>0</v>
      </c>
      <c r="U44" s="195">
        <f t="shared" si="8"/>
        <v>0</v>
      </c>
      <c r="V44" s="195">
        <f t="shared" si="8"/>
        <v>0</v>
      </c>
      <c r="W44" s="195">
        <f t="shared" si="8"/>
        <v>0</v>
      </c>
      <c r="X44" s="195">
        <f t="shared" si="8"/>
        <v>0</v>
      </c>
      <c r="Y44" s="195"/>
      <c r="Z44" s="165">
        <f t="shared" ref="Z44:Z46" si="11">H14*A44*B44*$Z$31</f>
        <v>17984975.287393164</v>
      </c>
      <c r="AD44" s="195"/>
    </row>
    <row r="45" spans="1:30">
      <c r="A45" s="226">
        <f>INDEX([2]!ResApplic,MATCH($D$42,[2]APPLIC!$B$9:$B$120,0)+1,MATCH($D45,[2]APPLIC!$C$8:$F$8,0)+1)</f>
        <v>1</v>
      </c>
      <c r="B45" s="227">
        <f>VLOOKUP($C$8,[2]!ExistingSat,MATCH($D45,[2]SATS!$C$10:$F$10,0)+1,FALSE)</f>
        <v>23</v>
      </c>
      <c r="C45" s="226">
        <f>1/AVERAGE('SavingsData&amp;Analysis'!$V$7:$V$9)</f>
        <v>0.2890713264382142</v>
      </c>
      <c r="D45" s="182" t="str">
        <f t="shared" si="9"/>
        <v>Multifamily - High Rise</v>
      </c>
      <c r="E45" s="195">
        <f t="shared" si="10"/>
        <v>1404060.4334316398</v>
      </c>
      <c r="F45" s="195">
        <f t="shared" si="8"/>
        <v>1400872.067991975</v>
      </c>
      <c r="G45" s="195">
        <f t="shared" si="8"/>
        <v>1397690.9427493375</v>
      </c>
      <c r="H45" s="195">
        <f t="shared" si="8"/>
        <v>1394517.0412625598</v>
      </c>
      <c r="I45" s="195">
        <f t="shared" si="8"/>
        <v>0</v>
      </c>
      <c r="J45" s="195">
        <f t="shared" si="8"/>
        <v>0</v>
      </c>
      <c r="K45" s="195">
        <f t="shared" si="8"/>
        <v>0</v>
      </c>
      <c r="L45" s="195">
        <f t="shared" si="8"/>
        <v>0</v>
      </c>
      <c r="M45" s="195">
        <f t="shared" si="8"/>
        <v>0</v>
      </c>
      <c r="N45" s="195">
        <f t="shared" si="8"/>
        <v>0</v>
      </c>
      <c r="O45" s="195">
        <f t="shared" si="8"/>
        <v>0</v>
      </c>
      <c r="P45" s="195">
        <f t="shared" si="8"/>
        <v>0</v>
      </c>
      <c r="Q45" s="195">
        <f t="shared" si="8"/>
        <v>0</v>
      </c>
      <c r="R45" s="195">
        <f t="shared" si="8"/>
        <v>0</v>
      </c>
      <c r="S45" s="195">
        <f t="shared" si="8"/>
        <v>0</v>
      </c>
      <c r="T45" s="195">
        <f t="shared" si="8"/>
        <v>0</v>
      </c>
      <c r="U45" s="195">
        <f t="shared" si="8"/>
        <v>0</v>
      </c>
      <c r="V45" s="195">
        <f t="shared" si="8"/>
        <v>0</v>
      </c>
      <c r="W45" s="195">
        <f t="shared" si="8"/>
        <v>0</v>
      </c>
      <c r="X45" s="195">
        <f t="shared" si="8"/>
        <v>0</v>
      </c>
      <c r="Y45" s="195"/>
      <c r="Z45" s="165">
        <f t="shared" si="11"/>
        <v>4100508.6864833995</v>
      </c>
      <c r="AD45" s="195"/>
    </row>
    <row r="46" spans="1:30">
      <c r="A46" s="226">
        <f>INDEX([2]!ResApplic,MATCH($D$42,[2]APPLIC!$B$9:$B$120,0)+1,MATCH($D46,[2]APPLIC!$C$8:$F$8,0)+1)</f>
        <v>1</v>
      </c>
      <c r="B46" s="227">
        <f>VLOOKUP($C$8,[2]!ExistingSat,MATCH($D46,[2]SATS!$C$10:$F$10,0)+1,FALSE)</f>
        <v>34.5</v>
      </c>
      <c r="C46" s="226">
        <f>1/AVERAGE('SavingsData&amp;Analysis'!$V$7:$V$9)</f>
        <v>0.2890713264382142</v>
      </c>
      <c r="D46" s="182" t="str">
        <f t="shared" si="9"/>
        <v>Manufactured</v>
      </c>
      <c r="E46" s="195">
        <f>E16*$C46*$A46*$B46</f>
        <v>5704596.6631883476</v>
      </c>
      <c r="F46" s="195">
        <f t="shared" si="8"/>
        <v>5643631.7157897241</v>
      </c>
      <c r="G46" s="195">
        <f t="shared" si="8"/>
        <v>5583318.2999595469</v>
      </c>
      <c r="H46" s="195">
        <f t="shared" si="8"/>
        <v>5523649.4527887534</v>
      </c>
      <c r="I46" s="195">
        <f t="shared" si="8"/>
        <v>0</v>
      </c>
      <c r="J46" s="195">
        <f t="shared" si="8"/>
        <v>0</v>
      </c>
      <c r="K46" s="195">
        <f t="shared" si="8"/>
        <v>0</v>
      </c>
      <c r="L46" s="195">
        <f t="shared" si="8"/>
        <v>0</v>
      </c>
      <c r="M46" s="195">
        <f t="shared" si="8"/>
        <v>0</v>
      </c>
      <c r="N46" s="195">
        <f t="shared" si="8"/>
        <v>0</v>
      </c>
      <c r="O46" s="195">
        <f t="shared" si="8"/>
        <v>0</v>
      </c>
      <c r="P46" s="195">
        <f t="shared" si="8"/>
        <v>0</v>
      </c>
      <c r="Q46" s="195">
        <f t="shared" si="8"/>
        <v>0</v>
      </c>
      <c r="R46" s="195">
        <f t="shared" si="8"/>
        <v>0</v>
      </c>
      <c r="S46" s="195">
        <f t="shared" si="8"/>
        <v>0</v>
      </c>
      <c r="T46" s="195">
        <f t="shared" si="8"/>
        <v>0</v>
      </c>
      <c r="U46" s="195">
        <f t="shared" si="8"/>
        <v>0</v>
      </c>
      <c r="V46" s="195">
        <f t="shared" si="8"/>
        <v>0</v>
      </c>
      <c r="W46" s="195">
        <f t="shared" si="8"/>
        <v>0</v>
      </c>
      <c r="X46" s="195">
        <f t="shared" si="8"/>
        <v>0</v>
      </c>
      <c r="Y46" s="195"/>
      <c r="Z46" s="165">
        <f t="shared" si="11"/>
        <v>16242019.202392135</v>
      </c>
      <c r="AD46" s="195"/>
    </row>
    <row r="47" spans="1:30">
      <c r="E47" s="195"/>
      <c r="F47" s="195"/>
      <c r="G47" s="195"/>
      <c r="H47" s="195"/>
      <c r="I47" s="195"/>
      <c r="J47" s="195"/>
      <c r="K47" s="195"/>
      <c r="L47" s="195"/>
      <c r="M47" s="195"/>
      <c r="N47" s="195"/>
      <c r="O47" s="195"/>
      <c r="P47" s="195"/>
      <c r="Q47" s="195"/>
      <c r="R47" s="195"/>
      <c r="S47" s="195"/>
      <c r="T47" s="195"/>
      <c r="U47" s="195"/>
      <c r="V47" s="195"/>
      <c r="W47" s="195"/>
      <c r="X47" s="195"/>
      <c r="Y47" s="195"/>
    </row>
    <row r="48" spans="1:30">
      <c r="E48" s="195">
        <f t="shared" ref="E48:X48" si="12">SUM(E43:E46)</f>
        <v>89819443.607789502</v>
      </c>
      <c r="F48" s="195">
        <f t="shared" si="12"/>
        <v>89567471.962652683</v>
      </c>
      <c r="G48" s="195">
        <f t="shared" si="12"/>
        <v>89316585.584149018</v>
      </c>
      <c r="H48" s="195">
        <f t="shared" si="12"/>
        <v>89066776.524450526</v>
      </c>
      <c r="I48" s="195">
        <f t="shared" si="12"/>
        <v>0</v>
      </c>
      <c r="J48" s="195">
        <f t="shared" si="12"/>
        <v>0</v>
      </c>
      <c r="K48" s="195">
        <f t="shared" si="12"/>
        <v>0</v>
      </c>
      <c r="L48" s="195">
        <f t="shared" si="12"/>
        <v>0</v>
      </c>
      <c r="M48" s="195">
        <f t="shared" si="12"/>
        <v>0</v>
      </c>
      <c r="N48" s="195">
        <f t="shared" si="12"/>
        <v>0</v>
      </c>
      <c r="O48" s="195">
        <f t="shared" si="12"/>
        <v>0</v>
      </c>
      <c r="P48" s="195">
        <f t="shared" si="12"/>
        <v>0</v>
      </c>
      <c r="Q48" s="195">
        <f t="shared" si="12"/>
        <v>0</v>
      </c>
      <c r="R48" s="195">
        <f t="shared" si="12"/>
        <v>0</v>
      </c>
      <c r="S48" s="195">
        <f t="shared" si="12"/>
        <v>0</v>
      </c>
      <c r="T48" s="195">
        <f t="shared" si="12"/>
        <v>0</v>
      </c>
      <c r="U48" s="195">
        <f t="shared" si="12"/>
        <v>0</v>
      </c>
      <c r="V48" s="195">
        <f t="shared" si="12"/>
        <v>0</v>
      </c>
      <c r="W48" s="195">
        <f t="shared" si="12"/>
        <v>0</v>
      </c>
      <c r="X48" s="195">
        <f t="shared" si="12"/>
        <v>0</v>
      </c>
      <c r="Y48" s="195"/>
      <c r="Z48" s="195">
        <f>SUM(E48:X48)</f>
        <v>357770277.67904174</v>
      </c>
      <c r="AD48" s="195"/>
    </row>
    <row r="49" spans="1:30">
      <c r="E49" s="195"/>
      <c r="F49" s="195"/>
      <c r="G49" s="195"/>
      <c r="H49" s="195"/>
      <c r="I49" s="195"/>
      <c r="J49" s="195"/>
      <c r="K49" s="195"/>
      <c r="L49" s="195"/>
      <c r="M49" s="195"/>
      <c r="N49" s="195"/>
      <c r="O49" s="195"/>
      <c r="P49" s="195"/>
      <c r="Q49" s="195"/>
      <c r="R49" s="195"/>
      <c r="S49" s="195"/>
      <c r="T49" s="195"/>
      <c r="U49" s="195"/>
      <c r="V49" s="195"/>
      <c r="W49" s="195"/>
      <c r="X49" s="195"/>
      <c r="Y49" s="195"/>
      <c r="Z49" s="195"/>
      <c r="AD49" s="195"/>
    </row>
    <row r="50" spans="1:30" ht="15">
      <c r="A50" s="218" t="s">
        <v>797</v>
      </c>
      <c r="B50" s="218" t="s">
        <v>798</v>
      </c>
      <c r="C50" s="218" t="s">
        <v>799</v>
      </c>
      <c r="D50" s="218" t="str">
        <f>CONCATENATE(C8," - ","NEW")</f>
        <v>Lighting - NEW</v>
      </c>
      <c r="E50" s="223">
        <v>2016</v>
      </c>
      <c r="F50" s="224">
        <v>2017</v>
      </c>
      <c r="G50" s="224">
        <v>2018</v>
      </c>
      <c r="H50" s="224">
        <v>2019</v>
      </c>
      <c r="I50" s="224">
        <v>2020</v>
      </c>
      <c r="J50" s="224">
        <v>2021</v>
      </c>
      <c r="K50" s="224">
        <v>2022</v>
      </c>
      <c r="L50" s="224">
        <v>2023</v>
      </c>
      <c r="M50" s="224">
        <v>2024</v>
      </c>
      <c r="N50" s="224">
        <v>2025</v>
      </c>
      <c r="O50" s="224">
        <v>2026</v>
      </c>
      <c r="P50" s="224">
        <v>2027</v>
      </c>
      <c r="Q50" s="224">
        <v>2028</v>
      </c>
      <c r="R50" s="224">
        <v>2029</v>
      </c>
      <c r="S50" s="224">
        <v>2030</v>
      </c>
      <c r="T50" s="224">
        <v>2031</v>
      </c>
      <c r="U50" s="224">
        <v>2032</v>
      </c>
      <c r="V50" s="224">
        <v>2033</v>
      </c>
      <c r="W50" s="224">
        <v>2034</v>
      </c>
      <c r="X50" s="224">
        <v>2035</v>
      </c>
      <c r="Y50" s="225"/>
    </row>
    <row r="51" spans="1:30">
      <c r="A51" s="226">
        <f>INDEX([2]!ResApplic,MATCH($D$50,[2]APPLIC!$B$9:$B$120,0)+1,MATCH($D51,[2]APPLIC!$C$8:$F$8,0)+1)</f>
        <v>1</v>
      </c>
      <c r="B51" s="227">
        <f>VLOOKUP($C$8,[2]!NewSat,MATCH($D51,[2]SATS!$C$10:$F$10,0)+1,FALSE)</f>
        <v>77</v>
      </c>
      <c r="C51" s="226">
        <v>1</v>
      </c>
      <c r="D51" s="182" t="str">
        <f>D43</f>
        <v>Single Family</v>
      </c>
      <c r="E51" s="195">
        <f>E23*$C51*$A51*$B51</f>
        <v>4826803.443</v>
      </c>
      <c r="F51" s="195">
        <f t="shared" ref="F51:X54" si="13">F23*$C51*$A51*$B51</f>
        <v>4617057.1370000001</v>
      </c>
      <c r="G51" s="195">
        <f t="shared" si="13"/>
        <v>4376218.9240000006</v>
      </c>
      <c r="H51" s="195">
        <f t="shared" si="13"/>
        <v>4233859.8609999996</v>
      </c>
      <c r="I51" s="195">
        <f t="shared" si="13"/>
        <v>0</v>
      </c>
      <c r="J51" s="195">
        <f t="shared" si="13"/>
        <v>0</v>
      </c>
      <c r="K51" s="195">
        <f t="shared" si="13"/>
        <v>0</v>
      </c>
      <c r="L51" s="195">
        <f t="shared" si="13"/>
        <v>0</v>
      </c>
      <c r="M51" s="195">
        <f t="shared" si="13"/>
        <v>0</v>
      </c>
      <c r="N51" s="195">
        <f t="shared" si="13"/>
        <v>0</v>
      </c>
      <c r="O51" s="195">
        <f t="shared" si="13"/>
        <v>0</v>
      </c>
      <c r="P51" s="195">
        <f t="shared" si="13"/>
        <v>0</v>
      </c>
      <c r="Q51" s="195">
        <f t="shared" si="13"/>
        <v>0</v>
      </c>
      <c r="R51" s="195">
        <f t="shared" si="13"/>
        <v>0</v>
      </c>
      <c r="S51" s="195">
        <f t="shared" si="13"/>
        <v>0</v>
      </c>
      <c r="T51" s="195">
        <f t="shared" si="13"/>
        <v>0</v>
      </c>
      <c r="U51" s="195">
        <f t="shared" si="13"/>
        <v>0</v>
      </c>
      <c r="V51" s="195">
        <f t="shared" si="13"/>
        <v>0</v>
      </c>
      <c r="W51" s="195">
        <f t="shared" si="13"/>
        <v>0</v>
      </c>
      <c r="X51" s="195">
        <f>X23*$C51*$A51*$B51</f>
        <v>0</v>
      </c>
      <c r="Y51" s="195"/>
      <c r="Z51" s="165">
        <f>H23*A51*B51*$Z$31</f>
        <v>3598780.8818499995</v>
      </c>
      <c r="AD51" s="195"/>
    </row>
    <row r="52" spans="1:30">
      <c r="A52" s="226">
        <f>INDEX([2]!ResApplic,MATCH($D$50,[2]APPLIC!$B$9:$B$120,0)+1,MATCH($D52,[2]APPLIC!$C$8:$F$8,0)+1)</f>
        <v>1</v>
      </c>
      <c r="B52" s="227">
        <f>VLOOKUP($C$8,[2]!NewSat,MATCH($D52,[2]SATS!$C$10:$F$10,0)+1,FALSE)</f>
        <v>23</v>
      </c>
      <c r="C52" s="226">
        <v>1</v>
      </c>
      <c r="D52" s="182" t="str">
        <f t="shared" ref="D52:D54" si="14">D44</f>
        <v>Multifamily - Low Rise</v>
      </c>
      <c r="E52" s="195">
        <f t="shared" ref="E52:T54" si="15">E24*$C52*$A52*$B52</f>
        <v>535447.98332080501</v>
      </c>
      <c r="F52" s="195">
        <f t="shared" si="15"/>
        <v>529400.61643888894</v>
      </c>
      <c r="G52" s="195">
        <f t="shared" si="15"/>
        <v>524666.99613648618</v>
      </c>
      <c r="H52" s="195">
        <f t="shared" si="15"/>
        <v>507976.07669865963</v>
      </c>
      <c r="I52" s="195">
        <f t="shared" si="15"/>
        <v>0</v>
      </c>
      <c r="J52" s="195">
        <f t="shared" si="15"/>
        <v>0</v>
      </c>
      <c r="K52" s="195">
        <f t="shared" si="15"/>
        <v>0</v>
      </c>
      <c r="L52" s="195">
        <f t="shared" si="15"/>
        <v>0</v>
      </c>
      <c r="M52" s="195">
        <f t="shared" si="15"/>
        <v>0</v>
      </c>
      <c r="N52" s="195">
        <f t="shared" si="15"/>
        <v>0</v>
      </c>
      <c r="O52" s="195">
        <f t="shared" si="15"/>
        <v>0</v>
      </c>
      <c r="P52" s="195">
        <f t="shared" si="15"/>
        <v>0</v>
      </c>
      <c r="Q52" s="195">
        <f t="shared" si="15"/>
        <v>0</v>
      </c>
      <c r="R52" s="195">
        <f t="shared" si="15"/>
        <v>0</v>
      </c>
      <c r="S52" s="195">
        <f t="shared" si="15"/>
        <v>0</v>
      </c>
      <c r="T52" s="195">
        <f t="shared" si="15"/>
        <v>0</v>
      </c>
      <c r="U52" s="195">
        <f t="shared" si="13"/>
        <v>0</v>
      </c>
      <c r="V52" s="195">
        <f t="shared" si="13"/>
        <v>0</v>
      </c>
      <c r="W52" s="195">
        <f t="shared" si="13"/>
        <v>0</v>
      </c>
      <c r="X52" s="195">
        <f t="shared" si="13"/>
        <v>0</v>
      </c>
      <c r="Y52" s="195"/>
      <c r="Z52" s="165">
        <f t="shared" ref="Z52:Z54" si="16">H24*A52*B52*$Z$31</f>
        <v>431779.66519386065</v>
      </c>
      <c r="AD52" s="195"/>
    </row>
    <row r="53" spans="1:30">
      <c r="A53" s="226">
        <f>INDEX([2]!ResApplic,MATCH($D$50,[2]APPLIC!$B$9:$B$120,0)+1,MATCH($D53,[2]APPLIC!$C$8:$F$8,0)+1)</f>
        <v>1</v>
      </c>
      <c r="B53" s="227">
        <f>VLOOKUP($C$8,[2]!NewSat,MATCH($D53,[2]SATS!$C$10:$F$10,0)+1,FALSE)</f>
        <v>23</v>
      </c>
      <c r="C53" s="226">
        <v>1</v>
      </c>
      <c r="D53" s="182" t="str">
        <f t="shared" si="14"/>
        <v>Multifamily - High Rise</v>
      </c>
      <c r="E53" s="195">
        <f t="shared" si="15"/>
        <v>120203.49104659114</v>
      </c>
      <c r="F53" s="195">
        <f t="shared" si="13"/>
        <v>120518.92193466936</v>
      </c>
      <c r="G53" s="195">
        <f t="shared" si="13"/>
        <v>121239.00935027601</v>
      </c>
      <c r="H53" s="195">
        <f t="shared" si="13"/>
        <v>114675.3217183643</v>
      </c>
      <c r="I53" s="195">
        <f t="shared" si="13"/>
        <v>0</v>
      </c>
      <c r="J53" s="195">
        <f t="shared" si="13"/>
        <v>0</v>
      </c>
      <c r="K53" s="195">
        <f t="shared" si="13"/>
        <v>0</v>
      </c>
      <c r="L53" s="195">
        <f t="shared" si="13"/>
        <v>0</v>
      </c>
      <c r="M53" s="195">
        <f t="shared" si="13"/>
        <v>0</v>
      </c>
      <c r="N53" s="195">
        <f t="shared" si="13"/>
        <v>0</v>
      </c>
      <c r="O53" s="195">
        <f t="shared" si="13"/>
        <v>0</v>
      </c>
      <c r="P53" s="195">
        <f t="shared" si="13"/>
        <v>0</v>
      </c>
      <c r="Q53" s="195">
        <f t="shared" si="13"/>
        <v>0</v>
      </c>
      <c r="R53" s="195">
        <f t="shared" si="13"/>
        <v>0</v>
      </c>
      <c r="S53" s="195">
        <f t="shared" si="13"/>
        <v>0</v>
      </c>
      <c r="T53" s="195">
        <f t="shared" si="13"/>
        <v>0</v>
      </c>
      <c r="U53" s="195">
        <f t="shared" si="13"/>
        <v>0</v>
      </c>
      <c r="V53" s="195">
        <f t="shared" si="13"/>
        <v>0</v>
      </c>
      <c r="W53" s="195">
        <f t="shared" si="13"/>
        <v>0</v>
      </c>
      <c r="X53" s="195">
        <f t="shared" si="13"/>
        <v>0</v>
      </c>
      <c r="Y53" s="195"/>
      <c r="Z53" s="165">
        <f t="shared" si="16"/>
        <v>97474.023460609649</v>
      </c>
      <c r="AD53" s="195"/>
    </row>
    <row r="54" spans="1:30">
      <c r="A54" s="226">
        <f>INDEX([2]!ResApplic,MATCH($D$50,[2]APPLIC!$B$9:$B$120,0)+1,MATCH($D54,[2]APPLIC!$C$8:$F$8,0)+1)</f>
        <v>1</v>
      </c>
      <c r="B54" s="227">
        <f>VLOOKUP($C$8,[2]!NewSat,MATCH($D54,[2]SATS!$C$10:$F$10,0)+1,FALSE)</f>
        <v>34.5</v>
      </c>
      <c r="C54" s="226">
        <v>1</v>
      </c>
      <c r="D54" s="182" t="str">
        <f t="shared" si="14"/>
        <v>Manufactured</v>
      </c>
      <c r="E54" s="195">
        <f t="shared" si="15"/>
        <v>64500.351475694442</v>
      </c>
      <c r="F54" s="195">
        <f t="shared" si="13"/>
        <v>64921.972554976848</v>
      </c>
      <c r="G54" s="195">
        <f t="shared" si="13"/>
        <v>67245.123814139661</v>
      </c>
      <c r="H54" s="195">
        <f t="shared" si="13"/>
        <v>69731.274449829594</v>
      </c>
      <c r="I54" s="195">
        <f t="shared" si="13"/>
        <v>0</v>
      </c>
      <c r="J54" s="195">
        <f t="shared" si="13"/>
        <v>0</v>
      </c>
      <c r="K54" s="195">
        <f t="shared" si="13"/>
        <v>0</v>
      </c>
      <c r="L54" s="195">
        <f t="shared" si="13"/>
        <v>0</v>
      </c>
      <c r="M54" s="195">
        <f t="shared" si="13"/>
        <v>0</v>
      </c>
      <c r="N54" s="195">
        <f t="shared" si="13"/>
        <v>0</v>
      </c>
      <c r="O54" s="195">
        <f t="shared" si="13"/>
        <v>0</v>
      </c>
      <c r="P54" s="195">
        <f t="shared" si="13"/>
        <v>0</v>
      </c>
      <c r="Q54" s="195">
        <f t="shared" si="13"/>
        <v>0</v>
      </c>
      <c r="R54" s="195">
        <f t="shared" si="13"/>
        <v>0</v>
      </c>
      <c r="S54" s="195">
        <f t="shared" si="13"/>
        <v>0</v>
      </c>
      <c r="T54" s="195">
        <f t="shared" si="13"/>
        <v>0</v>
      </c>
      <c r="U54" s="195">
        <f t="shared" si="13"/>
        <v>0</v>
      </c>
      <c r="V54" s="195">
        <f t="shared" si="13"/>
        <v>0</v>
      </c>
      <c r="W54" s="195">
        <f t="shared" si="13"/>
        <v>0</v>
      </c>
      <c r="X54" s="195">
        <f t="shared" si="13"/>
        <v>0</v>
      </c>
      <c r="Y54" s="195"/>
      <c r="Z54" s="165">
        <f t="shared" si="16"/>
        <v>59271.583282355154</v>
      </c>
      <c r="AD54" s="195"/>
    </row>
    <row r="55" spans="1:30">
      <c r="E55" s="195"/>
      <c r="F55" s="195"/>
      <c r="G55" s="195"/>
      <c r="H55" s="195"/>
      <c r="I55" s="195"/>
      <c r="J55" s="195"/>
      <c r="K55" s="195"/>
      <c r="L55" s="195"/>
      <c r="M55" s="195"/>
      <c r="N55" s="195"/>
      <c r="O55" s="195"/>
      <c r="P55" s="195"/>
      <c r="Q55" s="195"/>
      <c r="R55" s="195"/>
      <c r="S55" s="195"/>
      <c r="T55" s="195"/>
      <c r="U55" s="195"/>
      <c r="V55" s="195"/>
      <c r="W55" s="195"/>
      <c r="X55" s="195"/>
      <c r="Y55" s="195"/>
    </row>
    <row r="56" spans="1:30">
      <c r="E56" s="195">
        <f t="shared" ref="E56:X56" si="17">SUM(E51:E54)</f>
        <v>5546955.2688430902</v>
      </c>
      <c r="F56" s="195">
        <f t="shared" si="17"/>
        <v>5331898.647928535</v>
      </c>
      <c r="G56" s="195">
        <f t="shared" si="17"/>
        <v>5089370.0533009022</v>
      </c>
      <c r="H56" s="195">
        <f t="shared" si="17"/>
        <v>4926242.5338668535</v>
      </c>
      <c r="I56" s="195">
        <f t="shared" si="17"/>
        <v>0</v>
      </c>
      <c r="J56" s="195">
        <f t="shared" si="17"/>
        <v>0</v>
      </c>
      <c r="K56" s="195">
        <f t="shared" si="17"/>
        <v>0</v>
      </c>
      <c r="L56" s="195">
        <f t="shared" si="17"/>
        <v>0</v>
      </c>
      <c r="M56" s="195">
        <f t="shared" si="17"/>
        <v>0</v>
      </c>
      <c r="N56" s="195">
        <f t="shared" si="17"/>
        <v>0</v>
      </c>
      <c r="O56" s="195">
        <f t="shared" si="17"/>
        <v>0</v>
      </c>
      <c r="P56" s="195">
        <f t="shared" si="17"/>
        <v>0</v>
      </c>
      <c r="Q56" s="195">
        <f t="shared" si="17"/>
        <v>0</v>
      </c>
      <c r="R56" s="195">
        <f t="shared" si="17"/>
        <v>0</v>
      </c>
      <c r="S56" s="195">
        <f t="shared" si="17"/>
        <v>0</v>
      </c>
      <c r="T56" s="195">
        <f t="shared" si="17"/>
        <v>0</v>
      </c>
      <c r="U56" s="195">
        <f t="shared" si="17"/>
        <v>0</v>
      </c>
      <c r="V56" s="195">
        <f t="shared" si="17"/>
        <v>0</v>
      </c>
      <c r="W56" s="195">
        <f t="shared" si="17"/>
        <v>0</v>
      </c>
      <c r="X56" s="195">
        <f t="shared" si="17"/>
        <v>0</v>
      </c>
      <c r="Y56" s="195"/>
      <c r="Z56" s="195">
        <f>SUM(E56:X56)</f>
        <v>20894466.503939379</v>
      </c>
      <c r="AD56" s="195"/>
    </row>
    <row r="57" spans="1:30">
      <c r="E57" s="195"/>
      <c r="F57" s="195"/>
      <c r="G57" s="195"/>
      <c r="H57" s="195"/>
      <c r="I57" s="195"/>
      <c r="J57" s="195"/>
      <c r="K57" s="195"/>
      <c r="L57" s="195"/>
      <c r="M57" s="195"/>
      <c r="N57" s="195"/>
      <c r="O57" s="195"/>
      <c r="P57" s="195"/>
      <c r="Q57" s="195"/>
      <c r="R57" s="195"/>
      <c r="S57" s="195"/>
      <c r="T57" s="195"/>
      <c r="U57" s="195"/>
      <c r="V57" s="195"/>
      <c r="W57" s="195"/>
      <c r="X57" s="195"/>
      <c r="Y57" s="195"/>
      <c r="Z57" s="195"/>
      <c r="AD57" s="195"/>
    </row>
    <row r="58" spans="1:30" ht="15.75" thickBot="1">
      <c r="E58" s="218" t="s">
        <v>800</v>
      </c>
      <c r="F58" s="195"/>
      <c r="G58" s="195"/>
      <c r="H58" s="195"/>
      <c r="I58" s="195"/>
      <c r="J58" s="195"/>
      <c r="K58" s="195"/>
      <c r="L58" s="195"/>
      <c r="M58" s="195"/>
      <c r="N58" s="195"/>
      <c r="O58" s="195"/>
      <c r="P58" s="195"/>
      <c r="Q58" s="195"/>
      <c r="R58" s="195"/>
      <c r="S58" s="195"/>
      <c r="T58" s="195"/>
      <c r="U58" s="195"/>
      <c r="V58" s="195"/>
      <c r="W58" s="195"/>
      <c r="X58" s="195"/>
      <c r="Y58" s="195"/>
    </row>
    <row r="59" spans="1:30" ht="15.75" thickBot="1">
      <c r="A59" s="211" t="s">
        <v>801</v>
      </c>
      <c r="D59" s="218" t="str">
        <f>D42</f>
        <v>Lighting - PPA</v>
      </c>
      <c r="E59" s="228">
        <f>VLOOKUP("Lighting PPA",[2]ACHIEV!$B$9:$X$81,E$22+2,FALSE)</f>
        <v>0.5468729734127814</v>
      </c>
      <c r="F59" s="228">
        <f>VLOOKUP("Lighting PPA",[2]ACHIEV!$B$9:$X$81,F$22+2,FALSE)</f>
        <v>0.43749837873022512</v>
      </c>
      <c r="G59" s="228">
        <f>VLOOKUP("Lighting PPA",[2]ACHIEV!$B$9:$X$81,G$22+2,FALSE)</f>
        <v>0.32812378404766884</v>
      </c>
      <c r="H59" s="228">
        <f>VLOOKUP("Lighting PPA",[2]ACHIEV!$B$9:$X$81,H$22+2,FALSE)</f>
        <v>0.21874918936511256</v>
      </c>
      <c r="I59" s="228">
        <f>VLOOKUP("Lighting PPA",[2]ACHIEV!$B$9:$X$81,I$22+2,FALSE)</f>
        <v>0.10937459468255628</v>
      </c>
      <c r="J59" s="228">
        <f>VLOOKUP("Lighting PPA",[2]ACHIEV!$B$9:$X$81,J$22+2,FALSE)</f>
        <v>0</v>
      </c>
      <c r="K59" s="228">
        <f>VLOOKUP("Lighting PPA",[2]ACHIEV!$B$9:$X$81,K$22+2,FALSE)</f>
        <v>0</v>
      </c>
      <c r="L59" s="228">
        <f>VLOOKUP("Lighting PPA",[2]ACHIEV!$B$9:$X$81,L$22+2,FALSE)</f>
        <v>0</v>
      </c>
      <c r="M59" s="228">
        <f>VLOOKUP("Lighting PPA",[2]ACHIEV!$B$9:$X$81,M$22+2,FALSE)</f>
        <v>0</v>
      </c>
      <c r="N59" s="228">
        <f>VLOOKUP("Lighting PPA",[2]ACHIEV!$B$9:$X$81,N$22+2,FALSE)</f>
        <v>0</v>
      </c>
      <c r="O59" s="228">
        <f>VLOOKUP("Lighting PPA",[2]ACHIEV!$B$9:$X$81,O$22+2,FALSE)</f>
        <v>0</v>
      </c>
      <c r="P59" s="228">
        <f>VLOOKUP("Lighting PPA",[2]ACHIEV!$B$9:$X$81,P$22+2,FALSE)</f>
        <v>0</v>
      </c>
      <c r="Q59" s="228">
        <f>VLOOKUP("Lighting PPA",[2]ACHIEV!$B$9:$X$81,Q$22+2,FALSE)</f>
        <v>0</v>
      </c>
      <c r="R59" s="228">
        <f>VLOOKUP("Lighting PPA",[2]ACHIEV!$B$9:$X$81,R$22+2,FALSE)</f>
        <v>0</v>
      </c>
      <c r="S59" s="228">
        <f>VLOOKUP("Lighting PPA",[2]ACHIEV!$B$9:$X$81,S$22+2,FALSE)</f>
        <v>0</v>
      </c>
      <c r="T59" s="228">
        <f>VLOOKUP("Lighting PPA",[2]ACHIEV!$B$9:$X$81,T$22+2,FALSE)</f>
        <v>0</v>
      </c>
      <c r="U59" s="228">
        <f>VLOOKUP("Lighting PPA",[2]ACHIEV!$B$9:$X$81,U$22+2,FALSE)</f>
        <v>0</v>
      </c>
      <c r="V59" s="228">
        <f>VLOOKUP("Lighting PPA",[2]ACHIEV!$B$9:$X$81,V$22+2,FALSE)</f>
        <v>0</v>
      </c>
      <c r="W59" s="228">
        <f>VLOOKUP("Lighting PPA",[2]ACHIEV!$B$9:$X$81,W$22+2,FALSE)</f>
        <v>0</v>
      </c>
      <c r="X59" s="228">
        <f>VLOOKUP("Lighting PPA",[2]ACHIEV!$B$9:$X$81,X$22+2,FALSE)</f>
        <v>0</v>
      </c>
      <c r="Y59" s="229" t="s">
        <v>795</v>
      </c>
      <c r="Z59" s="230">
        <v>0.85</v>
      </c>
    </row>
    <row r="60" spans="1:30">
      <c r="D60" s="182" t="str">
        <f>C23</f>
        <v>Single Family</v>
      </c>
      <c r="E60" s="195">
        <f>(E43+E51)*E$59*$Z$59</f>
        <v>37828533.452924028</v>
      </c>
      <c r="F60" s="195">
        <f t="shared" ref="F60:X60" si="18">(F43+F51)*F$59*$Z$59</f>
        <v>30120183.346291687</v>
      </c>
      <c r="G60" s="195">
        <f t="shared" si="18"/>
        <v>22474593.34742834</v>
      </c>
      <c r="H60" s="195">
        <f t="shared" si="18"/>
        <v>14924416.919052625</v>
      </c>
      <c r="I60" s="195">
        <f t="shared" si="18"/>
        <v>0</v>
      </c>
      <c r="J60" s="195">
        <f t="shared" si="18"/>
        <v>0</v>
      </c>
      <c r="K60" s="195">
        <f t="shared" si="18"/>
        <v>0</v>
      </c>
      <c r="L60" s="195">
        <f t="shared" si="18"/>
        <v>0</v>
      </c>
      <c r="M60" s="195">
        <f t="shared" si="18"/>
        <v>0</v>
      </c>
      <c r="N60" s="195">
        <f t="shared" si="18"/>
        <v>0</v>
      </c>
      <c r="O60" s="195">
        <f t="shared" si="18"/>
        <v>0</v>
      </c>
      <c r="P60" s="195">
        <f t="shared" si="18"/>
        <v>0</v>
      </c>
      <c r="Q60" s="195">
        <f t="shared" si="18"/>
        <v>0</v>
      </c>
      <c r="R60" s="195">
        <f t="shared" si="18"/>
        <v>0</v>
      </c>
      <c r="S60" s="195">
        <f t="shared" si="18"/>
        <v>0</v>
      </c>
      <c r="T60" s="195">
        <f t="shared" si="18"/>
        <v>0</v>
      </c>
      <c r="U60" s="195">
        <f t="shared" si="18"/>
        <v>0</v>
      </c>
      <c r="V60" s="195">
        <f t="shared" si="18"/>
        <v>0</v>
      </c>
      <c r="W60" s="195">
        <f t="shared" si="18"/>
        <v>0</v>
      </c>
      <c r="X60" s="195">
        <f t="shared" si="18"/>
        <v>0</v>
      </c>
      <c r="Y60" s="195"/>
    </row>
    <row r="61" spans="1:30">
      <c r="D61" s="182" t="str">
        <f>C24</f>
        <v>Multifamily - Low Rise</v>
      </c>
      <c r="E61" s="195">
        <f t="shared" ref="E61:X63" si="19">(E44+E52)*E$59*$Z$59</f>
        <v>3111516.0612922008</v>
      </c>
      <c r="F61" s="195">
        <f t="shared" si="19"/>
        <v>2481763.606864173</v>
      </c>
      <c r="G61" s="195">
        <f t="shared" si="19"/>
        <v>1856111.0411418141</v>
      </c>
      <c r="H61" s="195">
        <f t="shared" si="19"/>
        <v>1231715.5071777154</v>
      </c>
      <c r="I61" s="195">
        <f t="shared" si="19"/>
        <v>0</v>
      </c>
      <c r="J61" s="195">
        <f t="shared" si="19"/>
        <v>0</v>
      </c>
      <c r="K61" s="195">
        <f t="shared" si="19"/>
        <v>0</v>
      </c>
      <c r="L61" s="195">
        <f t="shared" si="19"/>
        <v>0</v>
      </c>
      <c r="M61" s="195">
        <f t="shared" si="19"/>
        <v>0</v>
      </c>
      <c r="N61" s="195">
        <f t="shared" si="19"/>
        <v>0</v>
      </c>
      <c r="O61" s="195">
        <f t="shared" si="19"/>
        <v>0</v>
      </c>
      <c r="P61" s="195">
        <f t="shared" si="19"/>
        <v>0</v>
      </c>
      <c r="Q61" s="195">
        <f t="shared" si="19"/>
        <v>0</v>
      </c>
      <c r="R61" s="195">
        <f t="shared" si="19"/>
        <v>0</v>
      </c>
      <c r="S61" s="195">
        <f t="shared" si="19"/>
        <v>0</v>
      </c>
      <c r="T61" s="195">
        <f t="shared" si="19"/>
        <v>0</v>
      </c>
      <c r="U61" s="195">
        <f t="shared" si="19"/>
        <v>0</v>
      </c>
      <c r="V61" s="195">
        <f t="shared" si="19"/>
        <v>0</v>
      </c>
      <c r="W61" s="195">
        <f t="shared" si="19"/>
        <v>0</v>
      </c>
      <c r="X61" s="195">
        <f t="shared" si="19"/>
        <v>0</v>
      </c>
      <c r="Y61" s="195"/>
    </row>
    <row r="62" spans="1:30">
      <c r="D62" s="182" t="str">
        <f>C25</f>
        <v>Multifamily - High Rise</v>
      </c>
      <c r="E62" s="195">
        <f t="shared" si="19"/>
        <v>708541.93294845859</v>
      </c>
      <c r="F62" s="195">
        <f t="shared" si="19"/>
        <v>565765.17778152728</v>
      </c>
      <c r="G62" s="195">
        <f t="shared" si="19"/>
        <v>423637.48704832915</v>
      </c>
      <c r="H62" s="195">
        <f t="shared" si="19"/>
        <v>280614.41509838152</v>
      </c>
      <c r="I62" s="195">
        <f t="shared" si="19"/>
        <v>0</v>
      </c>
      <c r="J62" s="195">
        <f t="shared" si="19"/>
        <v>0</v>
      </c>
      <c r="K62" s="195">
        <f t="shared" si="19"/>
        <v>0</v>
      </c>
      <c r="L62" s="195">
        <f t="shared" si="19"/>
        <v>0</v>
      </c>
      <c r="M62" s="195">
        <f t="shared" si="19"/>
        <v>0</v>
      </c>
      <c r="N62" s="195">
        <f t="shared" si="19"/>
        <v>0</v>
      </c>
      <c r="O62" s="195">
        <f t="shared" si="19"/>
        <v>0</v>
      </c>
      <c r="P62" s="195">
        <f t="shared" si="19"/>
        <v>0</v>
      </c>
      <c r="Q62" s="195">
        <f t="shared" si="19"/>
        <v>0</v>
      </c>
      <c r="R62" s="195">
        <f t="shared" si="19"/>
        <v>0</v>
      </c>
      <c r="S62" s="195">
        <f t="shared" si="19"/>
        <v>0</v>
      </c>
      <c r="T62" s="195">
        <f t="shared" si="19"/>
        <v>0</v>
      </c>
      <c r="U62" s="195">
        <f t="shared" si="19"/>
        <v>0</v>
      </c>
      <c r="V62" s="195">
        <f t="shared" si="19"/>
        <v>0</v>
      </c>
      <c r="W62" s="195">
        <f t="shared" si="19"/>
        <v>0</v>
      </c>
      <c r="X62" s="195">
        <f t="shared" si="19"/>
        <v>0</v>
      </c>
      <c r="Y62" s="195"/>
    </row>
    <row r="63" spans="1:30">
      <c r="D63" s="182" t="str">
        <f>C26</f>
        <v>Manufactured</v>
      </c>
      <c r="E63" s="195">
        <f>(E46+E54)*E$59*$Z$59</f>
        <v>2681718.7525687064</v>
      </c>
      <c r="F63" s="195">
        <f t="shared" si="19"/>
        <v>2122860.5360134654</v>
      </c>
      <c r="G63" s="195">
        <f t="shared" si="19"/>
        <v>1575971.6147184772</v>
      </c>
      <c r="H63" s="195">
        <f t="shared" si="19"/>
        <v>1040015.3749098013</v>
      </c>
      <c r="I63" s="195">
        <f t="shared" si="19"/>
        <v>0</v>
      </c>
      <c r="J63" s="195">
        <f t="shared" si="19"/>
        <v>0</v>
      </c>
      <c r="K63" s="195">
        <f t="shared" si="19"/>
        <v>0</v>
      </c>
      <c r="L63" s="195">
        <f t="shared" si="19"/>
        <v>0</v>
      </c>
      <c r="M63" s="195">
        <f t="shared" si="19"/>
        <v>0</v>
      </c>
      <c r="N63" s="195">
        <f t="shared" si="19"/>
        <v>0</v>
      </c>
      <c r="O63" s="195">
        <f t="shared" si="19"/>
        <v>0</v>
      </c>
      <c r="P63" s="195">
        <f t="shared" si="19"/>
        <v>0</v>
      </c>
      <c r="Q63" s="195">
        <f t="shared" si="19"/>
        <v>0</v>
      </c>
      <c r="R63" s="195">
        <f t="shared" si="19"/>
        <v>0</v>
      </c>
      <c r="S63" s="195">
        <f t="shared" si="19"/>
        <v>0</v>
      </c>
      <c r="T63" s="195">
        <f t="shared" si="19"/>
        <v>0</v>
      </c>
      <c r="U63" s="195">
        <f t="shared" si="19"/>
        <v>0</v>
      </c>
      <c r="V63" s="195">
        <f t="shared" si="19"/>
        <v>0</v>
      </c>
      <c r="W63" s="195">
        <f t="shared" si="19"/>
        <v>0</v>
      </c>
      <c r="X63" s="195">
        <f t="shared" si="19"/>
        <v>0</v>
      </c>
      <c r="Y63" s="195"/>
    </row>
    <row r="65" spans="1:29">
      <c r="E65" s="195">
        <f t="shared" ref="E65:X65" si="20">SUM(E60:E63)</f>
        <v>44330310.199733391</v>
      </c>
      <c r="F65" s="195">
        <f t="shared" si="20"/>
        <v>35290572.666950852</v>
      </c>
      <c r="G65" s="195">
        <f t="shared" si="20"/>
        <v>26330313.490336962</v>
      </c>
      <c r="H65" s="195">
        <f t="shared" si="20"/>
        <v>17476762.216238525</v>
      </c>
      <c r="I65" s="195">
        <f t="shared" si="20"/>
        <v>0</v>
      </c>
      <c r="J65" s="195">
        <f t="shared" si="20"/>
        <v>0</v>
      </c>
      <c r="K65" s="195">
        <f t="shared" si="20"/>
        <v>0</v>
      </c>
      <c r="L65" s="195">
        <f t="shared" si="20"/>
        <v>0</v>
      </c>
      <c r="M65" s="195">
        <f t="shared" si="20"/>
        <v>0</v>
      </c>
      <c r="N65" s="195">
        <f t="shared" si="20"/>
        <v>0</v>
      </c>
      <c r="O65" s="195">
        <f t="shared" si="20"/>
        <v>0</v>
      </c>
      <c r="P65" s="195">
        <f t="shared" si="20"/>
        <v>0</v>
      </c>
      <c r="Q65" s="195">
        <f t="shared" si="20"/>
        <v>0</v>
      </c>
      <c r="R65" s="195">
        <f t="shared" si="20"/>
        <v>0</v>
      </c>
      <c r="S65" s="195">
        <f t="shared" si="20"/>
        <v>0</v>
      </c>
      <c r="T65" s="195">
        <f t="shared" si="20"/>
        <v>0</v>
      </c>
      <c r="U65" s="195">
        <f t="shared" si="20"/>
        <v>0</v>
      </c>
      <c r="V65" s="195">
        <f t="shared" si="20"/>
        <v>0</v>
      </c>
      <c r="W65" s="195">
        <f t="shared" si="20"/>
        <v>0</v>
      </c>
      <c r="X65" s="195">
        <f t="shared" si="20"/>
        <v>0</v>
      </c>
      <c r="Y65" s="195"/>
    </row>
    <row r="66" spans="1:29">
      <c r="E66" s="195"/>
      <c r="F66" s="195"/>
      <c r="G66" s="195"/>
      <c r="H66" s="195"/>
      <c r="I66" s="195"/>
      <c r="J66" s="195"/>
      <c r="K66" s="195"/>
      <c r="L66" s="195"/>
      <c r="M66" s="195"/>
      <c r="N66" s="195"/>
      <c r="O66" s="195"/>
      <c r="P66" s="195"/>
      <c r="Q66" s="195"/>
      <c r="R66" s="195"/>
      <c r="S66" s="195"/>
      <c r="T66" s="195"/>
      <c r="U66" s="195"/>
      <c r="V66" s="195"/>
      <c r="W66" s="195"/>
      <c r="X66" s="195"/>
      <c r="Y66" s="195"/>
    </row>
    <row r="68" spans="1:29" ht="15">
      <c r="A68" s="211" t="s">
        <v>802</v>
      </c>
      <c r="D68" s="218" t="str">
        <f>D42</f>
        <v>Lighting - PPA</v>
      </c>
      <c r="E68" s="218">
        <v>1</v>
      </c>
      <c r="F68" s="218">
        <v>2</v>
      </c>
      <c r="G68" s="218">
        <v>3</v>
      </c>
      <c r="H68" s="218">
        <v>4</v>
      </c>
      <c r="I68" s="218">
        <v>5</v>
      </c>
      <c r="J68" s="218">
        <v>6</v>
      </c>
      <c r="K68" s="218">
        <v>7</v>
      </c>
      <c r="L68" s="218">
        <v>8</v>
      </c>
      <c r="M68" s="218">
        <v>9</v>
      </c>
      <c r="N68" s="218">
        <v>10</v>
      </c>
      <c r="O68" s="218">
        <v>11</v>
      </c>
      <c r="P68" s="218">
        <v>12</v>
      </c>
      <c r="Q68" s="218">
        <v>13</v>
      </c>
      <c r="R68" s="218">
        <v>14</v>
      </c>
      <c r="S68" s="218">
        <v>15</v>
      </c>
      <c r="T68" s="218">
        <v>16</v>
      </c>
      <c r="U68" s="218">
        <v>17</v>
      </c>
      <c r="V68" s="218">
        <v>18</v>
      </c>
      <c r="W68" s="218">
        <v>19</v>
      </c>
      <c r="X68" s="218">
        <v>20</v>
      </c>
      <c r="Y68" s="218"/>
    </row>
    <row r="69" spans="1:29">
      <c r="D69" s="182" t="str">
        <f>D60</f>
        <v>Single Family</v>
      </c>
      <c r="E69" s="195">
        <f>E60</f>
        <v>37828533.452924028</v>
      </c>
      <c r="F69" s="195">
        <f>E69+F60</f>
        <v>67948716.799215719</v>
      </c>
      <c r="G69" s="195">
        <f t="shared" ref="G69:W70" si="21">F69+G60</f>
        <v>90423310.146644056</v>
      </c>
      <c r="H69" s="195">
        <f t="shared" si="21"/>
        <v>105347727.06569669</v>
      </c>
      <c r="I69" s="195">
        <f t="shared" si="21"/>
        <v>105347727.06569669</v>
      </c>
      <c r="J69" s="195">
        <f t="shared" si="21"/>
        <v>105347727.06569669</v>
      </c>
      <c r="K69" s="195">
        <f t="shared" si="21"/>
        <v>105347727.06569669</v>
      </c>
      <c r="L69" s="195">
        <f t="shared" si="21"/>
        <v>105347727.06569669</v>
      </c>
      <c r="M69" s="195">
        <f t="shared" si="21"/>
        <v>105347727.06569669</v>
      </c>
      <c r="N69" s="195">
        <f t="shared" si="21"/>
        <v>105347727.06569669</v>
      </c>
      <c r="O69" s="195">
        <f t="shared" si="21"/>
        <v>105347727.06569669</v>
      </c>
      <c r="P69" s="195">
        <f t="shared" si="21"/>
        <v>105347727.06569669</v>
      </c>
      <c r="Q69" s="195">
        <f t="shared" si="21"/>
        <v>105347727.06569669</v>
      </c>
      <c r="R69" s="195">
        <f t="shared" si="21"/>
        <v>105347727.06569669</v>
      </c>
      <c r="S69" s="195">
        <f t="shared" si="21"/>
        <v>105347727.06569669</v>
      </c>
      <c r="T69" s="195">
        <f t="shared" si="21"/>
        <v>105347727.06569669</v>
      </c>
      <c r="U69" s="195">
        <f t="shared" si="21"/>
        <v>105347727.06569669</v>
      </c>
      <c r="V69" s="195">
        <f t="shared" si="21"/>
        <v>105347727.06569669</v>
      </c>
      <c r="W69" s="195">
        <f t="shared" si="21"/>
        <v>105347727.06569669</v>
      </c>
      <c r="X69" s="195">
        <f>W69+X60</f>
        <v>105347727.06569669</v>
      </c>
      <c r="Y69" s="195"/>
    </row>
    <row r="70" spans="1:29">
      <c r="D70" s="182" t="str">
        <f t="shared" ref="D70:E72" si="22">D61</f>
        <v>Multifamily - Low Rise</v>
      </c>
      <c r="E70" s="195">
        <f t="shared" si="22"/>
        <v>3111516.0612922008</v>
      </c>
      <c r="F70" s="195">
        <f t="shared" ref="F70:U72" si="23">E70+F61</f>
        <v>5593279.6681563742</v>
      </c>
      <c r="G70" s="195">
        <f t="shared" si="23"/>
        <v>7449390.7092981879</v>
      </c>
      <c r="H70" s="195">
        <f t="shared" si="23"/>
        <v>8681106.216475904</v>
      </c>
      <c r="I70" s="195">
        <f t="shared" si="23"/>
        <v>8681106.216475904</v>
      </c>
      <c r="J70" s="195">
        <f t="shared" si="23"/>
        <v>8681106.216475904</v>
      </c>
      <c r="K70" s="195">
        <f t="shared" si="23"/>
        <v>8681106.216475904</v>
      </c>
      <c r="L70" s="195">
        <f t="shared" si="23"/>
        <v>8681106.216475904</v>
      </c>
      <c r="M70" s="195">
        <f t="shared" si="23"/>
        <v>8681106.216475904</v>
      </c>
      <c r="N70" s="195">
        <f t="shared" si="23"/>
        <v>8681106.216475904</v>
      </c>
      <c r="O70" s="195">
        <f t="shared" si="23"/>
        <v>8681106.216475904</v>
      </c>
      <c r="P70" s="195">
        <f t="shared" si="23"/>
        <v>8681106.216475904</v>
      </c>
      <c r="Q70" s="195">
        <f t="shared" si="23"/>
        <v>8681106.216475904</v>
      </c>
      <c r="R70" s="195">
        <f t="shared" si="23"/>
        <v>8681106.216475904</v>
      </c>
      <c r="S70" s="195">
        <f t="shared" si="23"/>
        <v>8681106.216475904</v>
      </c>
      <c r="T70" s="195">
        <f t="shared" si="23"/>
        <v>8681106.216475904</v>
      </c>
      <c r="U70" s="195">
        <f t="shared" si="23"/>
        <v>8681106.216475904</v>
      </c>
      <c r="V70" s="195">
        <f t="shared" si="21"/>
        <v>8681106.216475904</v>
      </c>
      <c r="W70" s="195">
        <f t="shared" si="21"/>
        <v>8681106.216475904</v>
      </c>
      <c r="X70" s="195">
        <f t="shared" ref="G70:X72" si="24">W70+X61</f>
        <v>8681106.216475904</v>
      </c>
      <c r="Y70" s="195"/>
    </row>
    <row r="71" spans="1:29">
      <c r="D71" s="182" t="str">
        <f t="shared" si="22"/>
        <v>Multifamily - High Rise</v>
      </c>
      <c r="E71" s="195">
        <f t="shared" si="22"/>
        <v>708541.93294845859</v>
      </c>
      <c r="F71" s="195">
        <f t="shared" si="23"/>
        <v>1274307.1107299859</v>
      </c>
      <c r="G71" s="195">
        <f t="shared" si="24"/>
        <v>1697944.597778315</v>
      </c>
      <c r="H71" s="195">
        <f t="shared" si="24"/>
        <v>1978559.0128766964</v>
      </c>
      <c r="I71" s="195">
        <f t="shared" si="24"/>
        <v>1978559.0128766964</v>
      </c>
      <c r="J71" s="195">
        <f t="shared" si="24"/>
        <v>1978559.0128766964</v>
      </c>
      <c r="K71" s="195">
        <f t="shared" si="24"/>
        <v>1978559.0128766964</v>
      </c>
      <c r="L71" s="195">
        <f t="shared" si="24"/>
        <v>1978559.0128766964</v>
      </c>
      <c r="M71" s="195">
        <f t="shared" si="24"/>
        <v>1978559.0128766964</v>
      </c>
      <c r="N71" s="195">
        <f t="shared" si="24"/>
        <v>1978559.0128766964</v>
      </c>
      <c r="O71" s="195">
        <f t="shared" si="24"/>
        <v>1978559.0128766964</v>
      </c>
      <c r="P71" s="195">
        <f t="shared" si="24"/>
        <v>1978559.0128766964</v>
      </c>
      <c r="Q71" s="195">
        <f t="shared" si="24"/>
        <v>1978559.0128766964</v>
      </c>
      <c r="R71" s="195">
        <f t="shared" si="24"/>
        <v>1978559.0128766964</v>
      </c>
      <c r="S71" s="195">
        <f t="shared" si="24"/>
        <v>1978559.0128766964</v>
      </c>
      <c r="T71" s="195">
        <f t="shared" si="24"/>
        <v>1978559.0128766964</v>
      </c>
      <c r="U71" s="195">
        <f t="shared" si="24"/>
        <v>1978559.0128766964</v>
      </c>
      <c r="V71" s="195">
        <f t="shared" si="24"/>
        <v>1978559.0128766964</v>
      </c>
      <c r="W71" s="195">
        <f t="shared" si="24"/>
        <v>1978559.0128766964</v>
      </c>
      <c r="X71" s="195">
        <f t="shared" si="24"/>
        <v>1978559.0128766964</v>
      </c>
      <c r="Y71" s="195"/>
    </row>
    <row r="72" spans="1:29">
      <c r="D72" s="182" t="str">
        <f t="shared" si="22"/>
        <v>Manufactured</v>
      </c>
      <c r="E72" s="195">
        <f t="shared" si="22"/>
        <v>2681718.7525687064</v>
      </c>
      <c r="F72" s="195">
        <f t="shared" si="23"/>
        <v>4804579.2885821722</v>
      </c>
      <c r="G72" s="195">
        <f t="shared" si="24"/>
        <v>6380550.9033006495</v>
      </c>
      <c r="H72" s="195">
        <f t="shared" si="24"/>
        <v>7420566.2782104509</v>
      </c>
      <c r="I72" s="195">
        <f t="shared" si="24"/>
        <v>7420566.2782104509</v>
      </c>
      <c r="J72" s="195">
        <f t="shared" si="24"/>
        <v>7420566.2782104509</v>
      </c>
      <c r="K72" s="195">
        <f t="shared" si="24"/>
        <v>7420566.2782104509</v>
      </c>
      <c r="L72" s="195">
        <f t="shared" si="24"/>
        <v>7420566.2782104509</v>
      </c>
      <c r="M72" s="195">
        <f t="shared" si="24"/>
        <v>7420566.2782104509</v>
      </c>
      <c r="N72" s="195">
        <f t="shared" si="24"/>
        <v>7420566.2782104509</v>
      </c>
      <c r="O72" s="195">
        <f t="shared" si="24"/>
        <v>7420566.2782104509</v>
      </c>
      <c r="P72" s="195">
        <f t="shared" si="24"/>
        <v>7420566.2782104509</v>
      </c>
      <c r="Q72" s="195">
        <f t="shared" si="24"/>
        <v>7420566.2782104509</v>
      </c>
      <c r="R72" s="195">
        <f t="shared" si="24"/>
        <v>7420566.2782104509</v>
      </c>
      <c r="S72" s="195">
        <f t="shared" si="24"/>
        <v>7420566.2782104509</v>
      </c>
      <c r="T72" s="195">
        <f t="shared" si="24"/>
        <v>7420566.2782104509</v>
      </c>
      <c r="U72" s="195">
        <f t="shared" si="24"/>
        <v>7420566.2782104509</v>
      </c>
      <c r="V72" s="195">
        <f t="shared" si="24"/>
        <v>7420566.2782104509</v>
      </c>
      <c r="W72" s="195">
        <f t="shared" si="24"/>
        <v>7420566.2782104509</v>
      </c>
      <c r="X72" s="195">
        <f t="shared" si="24"/>
        <v>7420566.2782104509</v>
      </c>
      <c r="Y72" s="195"/>
    </row>
    <row r="74" spans="1:29">
      <c r="E74" s="195">
        <f t="shared" ref="E74:X74" si="25">SUM(E69:E72)</f>
        <v>44330310.199733391</v>
      </c>
      <c r="F74" s="195">
        <f t="shared" si="25"/>
        <v>79620882.866684258</v>
      </c>
      <c r="G74" s="195">
        <f t="shared" si="25"/>
        <v>105951196.35702121</v>
      </c>
      <c r="H74" s="195">
        <f t="shared" si="25"/>
        <v>123427958.57325973</v>
      </c>
      <c r="I74" s="195">
        <f t="shared" si="25"/>
        <v>123427958.57325973</v>
      </c>
      <c r="J74" s="195">
        <f t="shared" si="25"/>
        <v>123427958.57325973</v>
      </c>
      <c r="K74" s="195">
        <f t="shared" si="25"/>
        <v>123427958.57325973</v>
      </c>
      <c r="L74" s="195">
        <f t="shared" si="25"/>
        <v>123427958.57325973</v>
      </c>
      <c r="M74" s="195">
        <f t="shared" si="25"/>
        <v>123427958.57325973</v>
      </c>
      <c r="N74" s="195">
        <f t="shared" si="25"/>
        <v>123427958.57325973</v>
      </c>
      <c r="O74" s="195">
        <f t="shared" si="25"/>
        <v>123427958.57325973</v>
      </c>
      <c r="P74" s="195">
        <f t="shared" si="25"/>
        <v>123427958.57325973</v>
      </c>
      <c r="Q74" s="195">
        <f t="shared" si="25"/>
        <v>123427958.57325973</v>
      </c>
      <c r="R74" s="195">
        <f t="shared" si="25"/>
        <v>123427958.57325973</v>
      </c>
      <c r="S74" s="195">
        <f t="shared" si="25"/>
        <v>123427958.57325973</v>
      </c>
      <c r="T74" s="195">
        <f t="shared" si="25"/>
        <v>123427958.57325973</v>
      </c>
      <c r="U74" s="195">
        <f t="shared" si="25"/>
        <v>123427958.57325973</v>
      </c>
      <c r="V74" s="195">
        <f t="shared" si="25"/>
        <v>123427958.57325973</v>
      </c>
      <c r="W74" s="195">
        <f t="shared" si="25"/>
        <v>123427958.57325973</v>
      </c>
      <c r="X74" s="195">
        <f t="shared" si="25"/>
        <v>123427958.57325973</v>
      </c>
      <c r="Y74" s="195"/>
    </row>
    <row r="75" spans="1:29">
      <c r="E75" s="195"/>
      <c r="F75" s="195"/>
      <c r="G75" s="195"/>
      <c r="H75" s="195"/>
      <c r="I75" s="195"/>
      <c r="J75" s="195"/>
      <c r="K75" s="195"/>
      <c r="L75" s="195"/>
      <c r="M75" s="195"/>
      <c r="N75" s="195"/>
      <c r="O75" s="195"/>
      <c r="P75" s="195"/>
      <c r="Q75" s="195"/>
      <c r="R75" s="195"/>
      <c r="S75" s="195"/>
      <c r="T75" s="195"/>
      <c r="U75" s="195"/>
      <c r="V75" s="195"/>
      <c r="W75" s="195"/>
      <c r="X75" s="195"/>
      <c r="Y75" s="195"/>
    </row>
    <row r="77" spans="1:29" s="179" customFormat="1">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row>
    <row r="78" spans="1:29" s="179" customFormat="1" ht="15">
      <c r="A78" s="211" t="s">
        <v>803</v>
      </c>
      <c r="B78" s="182"/>
      <c r="C78" s="182"/>
      <c r="D78" s="231" t="s">
        <v>782</v>
      </c>
      <c r="E78" s="182" t="s">
        <v>804</v>
      </c>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row>
    <row r="79" spans="1:29" s="179" customFormat="1" ht="15">
      <c r="A79" s="218" t="s">
        <v>805</v>
      </c>
      <c r="B79" s="218" t="s">
        <v>673</v>
      </c>
      <c r="C79" s="218"/>
      <c r="D79" s="218">
        <v>1</v>
      </c>
      <c r="E79" s="212">
        <f t="shared" ref="E79:X79" si="26">E11</f>
        <v>2016</v>
      </c>
      <c r="F79" s="213">
        <f t="shared" si="26"/>
        <v>2017</v>
      </c>
      <c r="G79" s="213">
        <f t="shared" si="26"/>
        <v>2018</v>
      </c>
      <c r="H79" s="213">
        <f t="shared" si="26"/>
        <v>2019</v>
      </c>
      <c r="I79" s="213">
        <f t="shared" si="26"/>
        <v>2020</v>
      </c>
      <c r="J79" s="213">
        <f t="shared" si="26"/>
        <v>2021</v>
      </c>
      <c r="K79" s="213">
        <f t="shared" si="26"/>
        <v>2022</v>
      </c>
      <c r="L79" s="213">
        <f t="shared" si="26"/>
        <v>2023</v>
      </c>
      <c r="M79" s="213">
        <f t="shared" si="26"/>
        <v>2024</v>
      </c>
      <c r="N79" s="213">
        <f t="shared" si="26"/>
        <v>2025</v>
      </c>
      <c r="O79" s="213">
        <f t="shared" si="26"/>
        <v>2026</v>
      </c>
      <c r="P79" s="213">
        <f t="shared" si="26"/>
        <v>2027</v>
      </c>
      <c r="Q79" s="213">
        <f t="shared" si="26"/>
        <v>2028</v>
      </c>
      <c r="R79" s="213">
        <f t="shared" si="26"/>
        <v>2029</v>
      </c>
      <c r="S79" s="213">
        <f t="shared" si="26"/>
        <v>2030</v>
      </c>
      <c r="T79" s="213">
        <f t="shared" si="26"/>
        <v>2031</v>
      </c>
      <c r="U79" s="213">
        <f t="shared" si="26"/>
        <v>2032</v>
      </c>
      <c r="V79" s="213">
        <f t="shared" si="26"/>
        <v>2033</v>
      </c>
      <c r="W79" s="213">
        <f t="shared" si="26"/>
        <v>2034</v>
      </c>
      <c r="X79" s="213">
        <f t="shared" si="26"/>
        <v>2035</v>
      </c>
      <c r="Y79" s="214" t="s">
        <v>795</v>
      </c>
      <c r="Z79" s="182"/>
      <c r="AA79" s="182"/>
    </row>
    <row r="80" spans="1:29" s="179" customFormat="1" ht="15">
      <c r="A80" s="218" t="s">
        <v>738</v>
      </c>
      <c r="B80" s="218" t="s">
        <v>806</v>
      </c>
      <c r="C80" s="218" t="s">
        <v>807</v>
      </c>
      <c r="D80" s="218" t="s">
        <v>808</v>
      </c>
      <c r="E80" s="215" t="str">
        <f>CONCATENATE("Units_",E$11)</f>
        <v>Units_2016</v>
      </c>
      <c r="F80" s="216" t="str">
        <f t="shared" ref="F80:X80" si="27">CONCATENATE("Units_",F$11)</f>
        <v>Units_2017</v>
      </c>
      <c r="G80" s="216" t="str">
        <f t="shared" si="27"/>
        <v>Units_2018</v>
      </c>
      <c r="H80" s="216" t="str">
        <f t="shared" si="27"/>
        <v>Units_2019</v>
      </c>
      <c r="I80" s="216" t="str">
        <f t="shared" si="27"/>
        <v>Units_2020</v>
      </c>
      <c r="J80" s="216" t="str">
        <f t="shared" si="27"/>
        <v>Units_2021</v>
      </c>
      <c r="K80" s="216" t="str">
        <f t="shared" si="27"/>
        <v>Units_2022</v>
      </c>
      <c r="L80" s="216" t="str">
        <f t="shared" si="27"/>
        <v>Units_2023</v>
      </c>
      <c r="M80" s="216" t="str">
        <f t="shared" si="27"/>
        <v>Units_2024</v>
      </c>
      <c r="N80" s="216" t="str">
        <f t="shared" si="27"/>
        <v>Units_2025</v>
      </c>
      <c r="O80" s="216" t="str">
        <f t="shared" si="27"/>
        <v>Units_2026</v>
      </c>
      <c r="P80" s="216" t="str">
        <f t="shared" si="27"/>
        <v>Units_2027</v>
      </c>
      <c r="Q80" s="216" t="str">
        <f t="shared" si="27"/>
        <v>Units_2028</v>
      </c>
      <c r="R80" s="216" t="str">
        <f t="shared" si="27"/>
        <v>Units_2029</v>
      </c>
      <c r="S80" s="216" t="str">
        <f t="shared" si="27"/>
        <v>Units_2030</v>
      </c>
      <c r="T80" s="216" t="str">
        <f t="shared" si="27"/>
        <v>Units_2031</v>
      </c>
      <c r="U80" s="216" t="str">
        <f t="shared" si="27"/>
        <v>Units_2032</v>
      </c>
      <c r="V80" s="216" t="str">
        <f t="shared" si="27"/>
        <v>Units_2033</v>
      </c>
      <c r="W80" s="216" t="str">
        <f t="shared" si="27"/>
        <v>Units_2034</v>
      </c>
      <c r="X80" s="216" t="str">
        <f t="shared" si="27"/>
        <v>Units_2035</v>
      </c>
      <c r="Y80" s="217" t="s">
        <v>795</v>
      </c>
      <c r="Z80" s="182"/>
      <c r="AA80" s="182"/>
    </row>
    <row r="81" spans="1:29" s="179" customFormat="1">
      <c r="A81" s="232">
        <f>VLOOKUP($D81,MeasureOutput,3,FALSE)</f>
        <v>10.945904277975469</v>
      </c>
      <c r="B81" s="233">
        <f t="shared" ref="B81:B92" si="28">VLOOKUP($D81,MeasureOutput,11,FALSE)</f>
        <v>-72.33729952335888</v>
      </c>
      <c r="C81" s="182" t="str">
        <f>C13</f>
        <v>Single Family</v>
      </c>
      <c r="D81" t="s">
        <v>903</v>
      </c>
      <c r="E81" s="193">
        <f>VLOOKUP($C81,$D$60:$Z$63,E$32,FALSE)*$D$79*$A81/8760/1000*INDEX('Bulb Weighting'!$B$2:$C$17,MATCH($D81,'Bulb Weighting'!$B$3:$B$17,0)+1,2)</f>
        <v>3.2003593138724336</v>
      </c>
      <c r="F81" s="193">
        <f>VLOOKUP($C81,$D$60:$Z$63,F$32,FALSE)*$D$79*$A81/8760/1000*INDEX('Bulb Weighting'!$B$2:$C$17,MATCH($D81,'Bulb Weighting'!$B$3:$B$17,0)+1,2)</f>
        <v>2.5482195715519844</v>
      </c>
      <c r="G81" s="193">
        <f>VLOOKUP($C81,$D$60:$Z$63,G$32,FALSE)*$D$79*$A81/8760/1000*INDEX('Bulb Weighting'!$B$2:$C$17,MATCH($D81,'Bulb Weighting'!$B$3:$B$17,0)+1,2)</f>
        <v>1.9013894428248845</v>
      </c>
      <c r="H81" s="193">
        <f>VLOOKUP($C81,$D$60:$Z$63,H$32,FALSE)*$D$79*$A81/8760/1000*INDEX('Bulb Weighting'!$B$2:$C$17,MATCH($D81,'Bulb Weighting'!$B$3:$B$17,0)+1,2)</f>
        <v>1.2626314670761687</v>
      </c>
      <c r="I81" s="193">
        <f>VLOOKUP($C81,$D$60:$Z$63,I$32,FALSE)*$D$79*$A81/8760/1000*INDEX('Bulb Weighting'!$B$2:$C$17,MATCH($D81,'Bulb Weighting'!$B$3:$B$17,0)+1,2)</f>
        <v>0</v>
      </c>
      <c r="J81" s="193">
        <f>VLOOKUP($C81,$D$60:$Z$63,J$32,FALSE)*$D$79*$A81/8760/1000*INDEX('Bulb Weighting'!$B$2:$C$17,MATCH($D81,'Bulb Weighting'!$B$3:$B$17,0)+1,2)</f>
        <v>0</v>
      </c>
      <c r="K81" s="193">
        <f>VLOOKUP($C81,$D$60:$Z$63,K$32,FALSE)*$D$79*$A81/8760/1000*INDEX('Bulb Weighting'!$B$2:$C$17,MATCH($D81,'Bulb Weighting'!$B$3:$B$17,0)+1,2)</f>
        <v>0</v>
      </c>
      <c r="L81" s="193">
        <f>VLOOKUP($C81,$D$60:$Z$63,L$32,FALSE)*$D$79*$A81/8760/1000*INDEX('Bulb Weighting'!$B$2:$C$17,MATCH($D81,'Bulb Weighting'!$B$3:$B$17,0)+1,2)</f>
        <v>0</v>
      </c>
      <c r="M81" s="193">
        <f>VLOOKUP($C81,$D$60:$Z$63,M$32,FALSE)*$D$79*$A81/8760/1000*INDEX('Bulb Weighting'!$B$2:$C$17,MATCH($D81,'Bulb Weighting'!$B$3:$B$17,0)+1,2)</f>
        <v>0</v>
      </c>
      <c r="N81" s="193">
        <f>VLOOKUP($C81,$D$60:$Z$63,N$32,FALSE)*$D$79*$A81/8760/1000*INDEX('Bulb Weighting'!$B$2:$C$17,MATCH($D81,'Bulb Weighting'!$B$3:$B$17,0)+1,2)</f>
        <v>0</v>
      </c>
      <c r="O81" s="193">
        <f>VLOOKUP($C81,$D$60:$Z$63,O$32,FALSE)*$D$79*$A81/8760/1000*INDEX('Bulb Weighting'!$B$2:$C$17,MATCH($D81,'Bulb Weighting'!$B$3:$B$17,0)+1,2)</f>
        <v>0</v>
      </c>
      <c r="P81" s="193">
        <f>VLOOKUP($C81,$D$60:$Z$63,P$32,FALSE)*$D$79*$A81/8760/1000*INDEX('Bulb Weighting'!$B$2:$C$17,MATCH($D81,'Bulb Weighting'!$B$3:$B$17,0)+1,2)</f>
        <v>0</v>
      </c>
      <c r="Q81" s="193">
        <f>VLOOKUP($C81,$D$60:$Z$63,Q$32,FALSE)*$D$79*$A81/8760/1000*INDEX('Bulb Weighting'!$B$2:$C$17,MATCH($D81,'Bulb Weighting'!$B$3:$B$17,0)+1,2)</f>
        <v>0</v>
      </c>
      <c r="R81" s="193">
        <f>VLOOKUP($C81,$D$60:$Z$63,R$32,FALSE)*$D$79*$A81/8760/1000*INDEX('Bulb Weighting'!$B$2:$C$17,MATCH($D81,'Bulb Weighting'!$B$3:$B$17,0)+1,2)</f>
        <v>0</v>
      </c>
      <c r="S81" s="193">
        <f>VLOOKUP($C81,$D$60:$Z$63,S$32,FALSE)*$D$79*$A81/8760/1000*INDEX('Bulb Weighting'!$B$2:$C$17,MATCH($D81,'Bulb Weighting'!$B$3:$B$17,0)+1,2)</f>
        <v>0</v>
      </c>
      <c r="T81" s="193">
        <f>VLOOKUP($C81,$D$60:$Z$63,T$32,FALSE)*$D$79*$A81/8760/1000*INDEX('Bulb Weighting'!$B$2:$C$17,MATCH($D81,'Bulb Weighting'!$B$3:$B$17,0)+1,2)</f>
        <v>0</v>
      </c>
      <c r="U81" s="193">
        <f>VLOOKUP($C81,$D$60:$Z$63,U$32,FALSE)*$D$79*$A81/8760/1000*INDEX('Bulb Weighting'!$B$2:$C$17,MATCH($D81,'Bulb Weighting'!$B$3:$B$17,0)+1,2)</f>
        <v>0</v>
      </c>
      <c r="V81" s="193">
        <f>VLOOKUP($C81,$D$60:$Z$63,V$32,FALSE)*$D$79*$A81/8760/1000*INDEX('Bulb Weighting'!$B$2:$C$17,MATCH($D81,'Bulb Weighting'!$B$3:$B$17,0)+1,2)</f>
        <v>0</v>
      </c>
      <c r="W81" s="193">
        <f>VLOOKUP($C81,$D$60:$Z$63,W$32,FALSE)*$D$79*$A81/8760/1000*INDEX('Bulb Weighting'!$B$2:$C$17,MATCH($D81,'Bulb Weighting'!$B$3:$B$17,0)+1,2)</f>
        <v>0</v>
      </c>
      <c r="X81" s="193">
        <f>VLOOKUP($C81,$D$60:$Z$63,X$32,FALSE)*$D$79*$A81/8760/1000*INDEX('Bulb Weighting'!$B$2:$C$17,MATCH($D81,'Bulb Weighting'!$B$3:$B$17,0)+1,2)</f>
        <v>0</v>
      </c>
      <c r="Y81" s="198">
        <f>(VLOOKUP($C81,$D$43:$Z$46,$X$68+3,FALSE)+VLOOKUP($C81,$D$51:$Z$54,$X$68+3,FALSE))*$A81*$D$79/8760/1000*INDEX('Bulb Weighting'!$B$2:$C$17,MATCH($D81,'Bulb Weighting'!$B$3:$B$17,0)+1,2)</f>
        <v>19.218784119620018</v>
      </c>
      <c r="Z81" s="198"/>
      <c r="AA81" s="198">
        <f>SUM(E81:X81)</f>
        <v>8.9125997953254714</v>
      </c>
      <c r="AB81" s="193"/>
      <c r="AC81" s="234"/>
    </row>
    <row r="82" spans="1:29" s="179" customFormat="1">
      <c r="A82" s="232">
        <f t="shared" ref="A82:A92" si="29">VLOOKUP($D82,MeasureOutput,3,FALSE)</f>
        <v>4.2972366607268073</v>
      </c>
      <c r="B82" s="233">
        <f t="shared" si="28"/>
        <v>-53.268788547414012</v>
      </c>
      <c r="C82" s="182" t="s">
        <v>529</v>
      </c>
      <c r="D82" t="s">
        <v>905</v>
      </c>
      <c r="E82" s="193">
        <f>VLOOKUP($C82,$D$60:$Z$63,E$32,FALSE)*$D$79*$A82/8760/1000*INDEX('Bulb Weighting'!$B$2:$C$17,MATCH($D82,'Bulb Weighting'!$B$3:$B$17,0)+1,2)</f>
        <v>9.6951527228553207</v>
      </c>
      <c r="F82" s="193">
        <f>VLOOKUP($C82,$D$60:$Z$63,F$32,FALSE)*$D$79*$A82/8760/1000*INDEX('Bulb Weighting'!$B$2:$C$17,MATCH($D82,'Bulb Weighting'!$B$3:$B$17,0)+1,2)</f>
        <v>7.7195638035005336</v>
      </c>
      <c r="G82" s="193">
        <f>VLOOKUP($C82,$D$60:$Z$63,G$32,FALSE)*$D$79*$A82/8760/1000*INDEX('Bulb Weighting'!$B$2:$C$17,MATCH($D82,'Bulb Weighting'!$B$3:$B$17,0)+1,2)</f>
        <v>5.7600598013810496</v>
      </c>
      <c r="H82" s="193">
        <f>VLOOKUP($C82,$D$60:$Z$63,H$32,FALSE)*$D$79*$A82/8760/1000*INDEX('Bulb Weighting'!$B$2:$C$17,MATCH($D82,'Bulb Weighting'!$B$3:$B$17,0)+1,2)</f>
        <v>3.8250095396864152</v>
      </c>
      <c r="I82" s="193">
        <f>VLOOKUP($C82,$D$60:$Z$63,I$32,FALSE)*$D$79*$A82/8760/1000*INDEX('Bulb Weighting'!$B$2:$C$17,MATCH($D82,'Bulb Weighting'!$B$3:$B$17,0)+1,2)</f>
        <v>0</v>
      </c>
      <c r="J82" s="193">
        <f>VLOOKUP($C82,$D$60:$Z$63,J$32,FALSE)*$D$79*$A82/8760/1000*INDEX('Bulb Weighting'!$B$2:$C$17,MATCH($D82,'Bulb Weighting'!$B$3:$B$17,0)+1,2)</f>
        <v>0</v>
      </c>
      <c r="K82" s="193">
        <f>VLOOKUP($C82,$D$60:$Z$63,K$32,FALSE)*$D$79*$A82/8760/1000*INDEX('Bulb Weighting'!$B$2:$C$17,MATCH($D82,'Bulb Weighting'!$B$3:$B$17,0)+1,2)</f>
        <v>0</v>
      </c>
      <c r="L82" s="193">
        <f>VLOOKUP($C82,$D$60:$Z$63,L$32,FALSE)*$D$79*$A82/8760/1000*INDEX('Bulb Weighting'!$B$2:$C$17,MATCH($D82,'Bulb Weighting'!$B$3:$B$17,0)+1,2)</f>
        <v>0</v>
      </c>
      <c r="M82" s="193">
        <f>VLOOKUP($C82,$D$60:$Z$63,M$32,FALSE)*$D$79*$A82/8760/1000*INDEX('Bulb Weighting'!$B$2:$C$17,MATCH($D82,'Bulb Weighting'!$B$3:$B$17,0)+1,2)</f>
        <v>0</v>
      </c>
      <c r="N82" s="193">
        <f>VLOOKUP($C82,$D$60:$Z$63,N$32,FALSE)*$D$79*$A82/8760/1000*INDEX('Bulb Weighting'!$B$2:$C$17,MATCH($D82,'Bulb Weighting'!$B$3:$B$17,0)+1,2)</f>
        <v>0</v>
      </c>
      <c r="O82" s="193">
        <f>VLOOKUP($C82,$D$60:$Z$63,O$32,FALSE)*$D$79*$A82/8760/1000*INDEX('Bulb Weighting'!$B$2:$C$17,MATCH($D82,'Bulb Weighting'!$B$3:$B$17,0)+1,2)</f>
        <v>0</v>
      </c>
      <c r="P82" s="193">
        <f>VLOOKUP($C82,$D$60:$Z$63,P$32,FALSE)*$D$79*$A82/8760/1000*INDEX('Bulb Weighting'!$B$2:$C$17,MATCH($D82,'Bulb Weighting'!$B$3:$B$17,0)+1,2)</f>
        <v>0</v>
      </c>
      <c r="Q82" s="193">
        <f>VLOOKUP($C82,$D$60:$Z$63,Q$32,FALSE)*$D$79*$A82/8760/1000*INDEX('Bulb Weighting'!$B$2:$C$17,MATCH($D82,'Bulb Weighting'!$B$3:$B$17,0)+1,2)</f>
        <v>0</v>
      </c>
      <c r="R82" s="193">
        <f>VLOOKUP($C82,$D$60:$Z$63,R$32,FALSE)*$D$79*$A82/8760/1000*INDEX('Bulb Weighting'!$B$2:$C$17,MATCH($D82,'Bulb Weighting'!$B$3:$B$17,0)+1,2)</f>
        <v>0</v>
      </c>
      <c r="S82" s="193">
        <f>VLOOKUP($C82,$D$60:$Z$63,S$32,FALSE)*$D$79*$A82/8760/1000*INDEX('Bulb Weighting'!$B$2:$C$17,MATCH($D82,'Bulb Weighting'!$B$3:$B$17,0)+1,2)</f>
        <v>0</v>
      </c>
      <c r="T82" s="193">
        <f>VLOOKUP($C82,$D$60:$Z$63,T$32,FALSE)*$D$79*$A82/8760/1000*INDEX('Bulb Weighting'!$B$2:$C$17,MATCH($D82,'Bulb Weighting'!$B$3:$B$17,0)+1,2)</f>
        <v>0</v>
      </c>
      <c r="U82" s="193">
        <f>VLOOKUP($C82,$D$60:$Z$63,U$32,FALSE)*$D$79*$A82/8760/1000*INDEX('Bulb Weighting'!$B$2:$C$17,MATCH($D82,'Bulb Weighting'!$B$3:$B$17,0)+1,2)</f>
        <v>0</v>
      </c>
      <c r="V82" s="193">
        <f>VLOOKUP($C82,$D$60:$Z$63,V$32,FALSE)*$D$79*$A82/8760/1000*INDEX('Bulb Weighting'!$B$2:$C$17,MATCH($D82,'Bulb Weighting'!$B$3:$B$17,0)+1,2)</f>
        <v>0</v>
      </c>
      <c r="W82" s="193">
        <f>VLOOKUP($C82,$D$60:$Z$63,W$32,FALSE)*$D$79*$A82/8760/1000*INDEX('Bulb Weighting'!$B$2:$C$17,MATCH($D82,'Bulb Weighting'!$B$3:$B$17,0)+1,2)</f>
        <v>0</v>
      </c>
      <c r="X82" s="193">
        <f>VLOOKUP($C82,$D$60:$Z$63,X$32,FALSE)*$D$79*$A82/8760/1000*INDEX('Bulb Weighting'!$B$2:$C$17,MATCH($D82,'Bulb Weighting'!$B$3:$B$17,0)+1,2)</f>
        <v>0</v>
      </c>
      <c r="Y82" s="198">
        <f>(VLOOKUP($C82,$D$43:$Z$46,$X$68+3,FALSE)+VLOOKUP($C82,$D$51:$Z$54,$X$68+3,FALSE))*$A82*$D$79/8760/1000*INDEX('Bulb Weighting'!$B$2:$C$17,MATCH($D82,'Bulb Weighting'!$B$3:$B$17,0)+1,2)</f>
        <v>58.221289834435687</v>
      </c>
      <c r="Z82" s="198"/>
      <c r="AA82" s="198">
        <f t="shared" ref="AA82:AA83" si="30">SUM(E82:X82)</f>
        <v>26.99978586742332</v>
      </c>
      <c r="AB82" s="193"/>
      <c r="AC82" s="234"/>
    </row>
    <row r="83" spans="1:29" s="179" customFormat="1">
      <c r="A83" s="232">
        <f t="shared" si="29"/>
        <v>-1.2124345256655047</v>
      </c>
      <c r="B83" s="233">
        <f t="shared" si="28"/>
        <v>9999</v>
      </c>
      <c r="C83" s="182" t="s">
        <v>529</v>
      </c>
      <c r="D83" t="s">
        <v>907</v>
      </c>
      <c r="E83" s="193">
        <f>VLOOKUP($C83,$D$60:$Z$63,E$32,FALSE)*$D$79*$A83/8760/1000*INDEX('Bulb Weighting'!$B$2:$C$17,MATCH($D83,'Bulb Weighting'!$B$3:$B$17,0)+1,2)</f>
        <v>-0.27272466738693113</v>
      </c>
      <c r="F83" s="193">
        <f>VLOOKUP($C83,$D$60:$Z$63,F$32,FALSE)*$D$79*$A83/8760/1000*INDEX('Bulb Weighting'!$B$2:$C$17,MATCH($D83,'Bulb Weighting'!$B$3:$B$17,0)+1,2)</f>
        <v>-0.21715134674658729</v>
      </c>
      <c r="G83" s="193">
        <f>VLOOKUP($C83,$D$60:$Z$63,G$32,FALSE)*$D$79*$A83/8760/1000*INDEX('Bulb Weighting'!$B$2:$C$17,MATCH($D83,'Bulb Weighting'!$B$3:$B$17,0)+1,2)</f>
        <v>-0.1620304948633991</v>
      </c>
      <c r="H83" s="193">
        <f>VLOOKUP($C83,$D$60:$Z$63,H$32,FALSE)*$D$79*$A83/8760/1000*INDEX('Bulb Weighting'!$B$2:$C$17,MATCH($D83,'Bulb Weighting'!$B$3:$B$17,0)+1,2)</f>
        <v>-0.10759752675206857</v>
      </c>
      <c r="I83" s="193">
        <f>VLOOKUP($C83,$D$60:$Z$63,I$32,FALSE)*$D$79*$A83/8760/1000*INDEX('Bulb Weighting'!$B$2:$C$17,MATCH($D83,'Bulb Weighting'!$B$3:$B$17,0)+1,2)</f>
        <v>0</v>
      </c>
      <c r="J83" s="193">
        <f>VLOOKUP($C83,$D$60:$Z$63,J$32,FALSE)*$D$79*$A83/8760/1000*INDEX('Bulb Weighting'!$B$2:$C$17,MATCH($D83,'Bulb Weighting'!$B$3:$B$17,0)+1,2)</f>
        <v>0</v>
      </c>
      <c r="K83" s="193">
        <f>VLOOKUP($C83,$D$60:$Z$63,K$32,FALSE)*$D$79*$A83/8760/1000*INDEX('Bulb Weighting'!$B$2:$C$17,MATCH($D83,'Bulb Weighting'!$B$3:$B$17,0)+1,2)</f>
        <v>0</v>
      </c>
      <c r="L83" s="193">
        <f>VLOOKUP($C83,$D$60:$Z$63,L$32,FALSE)*$D$79*$A83/8760/1000*INDEX('Bulb Weighting'!$B$2:$C$17,MATCH($D83,'Bulb Weighting'!$B$3:$B$17,0)+1,2)</f>
        <v>0</v>
      </c>
      <c r="M83" s="193">
        <f>VLOOKUP($C83,$D$60:$Z$63,M$32,FALSE)*$D$79*$A83/8760/1000*INDEX('Bulb Weighting'!$B$2:$C$17,MATCH($D83,'Bulb Weighting'!$B$3:$B$17,0)+1,2)</f>
        <v>0</v>
      </c>
      <c r="N83" s="193">
        <f>VLOOKUP($C83,$D$60:$Z$63,N$32,FALSE)*$D$79*$A83/8760/1000*INDEX('Bulb Weighting'!$B$2:$C$17,MATCH($D83,'Bulb Weighting'!$B$3:$B$17,0)+1,2)</f>
        <v>0</v>
      </c>
      <c r="O83" s="193">
        <f>VLOOKUP($C83,$D$60:$Z$63,O$32,FALSE)*$D$79*$A83/8760/1000*INDEX('Bulb Weighting'!$B$2:$C$17,MATCH($D83,'Bulb Weighting'!$B$3:$B$17,0)+1,2)</f>
        <v>0</v>
      </c>
      <c r="P83" s="193">
        <f>VLOOKUP($C83,$D$60:$Z$63,P$32,FALSE)*$D$79*$A83/8760/1000*INDEX('Bulb Weighting'!$B$2:$C$17,MATCH($D83,'Bulb Weighting'!$B$3:$B$17,0)+1,2)</f>
        <v>0</v>
      </c>
      <c r="Q83" s="193">
        <f>VLOOKUP($C83,$D$60:$Z$63,Q$32,FALSE)*$D$79*$A83/8760/1000*INDEX('Bulb Weighting'!$B$2:$C$17,MATCH($D83,'Bulb Weighting'!$B$3:$B$17,0)+1,2)</f>
        <v>0</v>
      </c>
      <c r="R83" s="193">
        <f>VLOOKUP($C83,$D$60:$Z$63,R$32,FALSE)*$D$79*$A83/8760/1000*INDEX('Bulb Weighting'!$B$2:$C$17,MATCH($D83,'Bulb Weighting'!$B$3:$B$17,0)+1,2)</f>
        <v>0</v>
      </c>
      <c r="S83" s="193">
        <f>VLOOKUP($C83,$D$60:$Z$63,S$32,FALSE)*$D$79*$A83/8760/1000*INDEX('Bulb Weighting'!$B$2:$C$17,MATCH($D83,'Bulb Weighting'!$B$3:$B$17,0)+1,2)</f>
        <v>0</v>
      </c>
      <c r="T83" s="193">
        <f>VLOOKUP($C83,$D$60:$Z$63,T$32,FALSE)*$D$79*$A83/8760/1000*INDEX('Bulb Weighting'!$B$2:$C$17,MATCH($D83,'Bulb Weighting'!$B$3:$B$17,0)+1,2)</f>
        <v>0</v>
      </c>
      <c r="U83" s="193">
        <f>VLOOKUP($C83,$D$60:$Z$63,U$32,FALSE)*$D$79*$A83/8760/1000*INDEX('Bulb Weighting'!$B$2:$C$17,MATCH($D83,'Bulb Weighting'!$B$3:$B$17,0)+1,2)</f>
        <v>0</v>
      </c>
      <c r="V83" s="193">
        <f>VLOOKUP($C83,$D$60:$Z$63,V$32,FALSE)*$D$79*$A83/8760/1000*INDEX('Bulb Weighting'!$B$2:$C$17,MATCH($D83,'Bulb Weighting'!$B$3:$B$17,0)+1,2)</f>
        <v>0</v>
      </c>
      <c r="W83" s="193">
        <f>VLOOKUP($C83,$D$60:$Z$63,W$32,FALSE)*$D$79*$A83/8760/1000*INDEX('Bulb Weighting'!$B$2:$C$17,MATCH($D83,'Bulb Weighting'!$B$3:$B$17,0)+1,2)</f>
        <v>0</v>
      </c>
      <c r="X83" s="193">
        <f>VLOOKUP($C83,$D$60:$Z$63,X$32,FALSE)*$D$79*$A83/8760/1000*INDEX('Bulb Weighting'!$B$2:$C$17,MATCH($D83,'Bulb Weighting'!$B$3:$B$17,0)+1,2)</f>
        <v>0</v>
      </c>
      <c r="Y83" s="198">
        <f>(VLOOKUP($C83,$D$43:$Z$46,$X$68+3,FALSE)+VLOOKUP($C83,$D$51:$Z$54,$X$68+3,FALSE))*$A83*$D$79/8760/1000*INDEX('Bulb Weighting'!$B$2:$C$17,MATCH($D83,'Bulb Weighting'!$B$3:$B$17,0)+1,2)</f>
        <v>-1.6377650109113739</v>
      </c>
      <c r="Z83" s="198"/>
      <c r="AA83" s="198">
        <f t="shared" si="30"/>
        <v>-0.75950403574898617</v>
      </c>
      <c r="AB83" s="193"/>
      <c r="AC83" s="234"/>
    </row>
    <row r="84" spans="1:29" s="179" customFormat="1">
      <c r="A84" s="232">
        <f t="shared" si="29"/>
        <v>10.945904277975469</v>
      </c>
      <c r="B84" s="233">
        <f t="shared" si="28"/>
        <v>-72.33729952335888</v>
      </c>
      <c r="C84" s="182" t="str">
        <f>C14</f>
        <v>Multifamily - Low Rise</v>
      </c>
      <c r="D84" t="s">
        <v>903</v>
      </c>
      <c r="E84" s="193">
        <f>VLOOKUP($C84,$D$60:$Z$63,E$32,FALSE)*$D$79*$A84/8760/1000*INDEX('Bulb Weighting'!$B$2:$C$17,MATCH($D84,'Bulb Weighting'!$B$3:$B$17,0)+1,2)</f>
        <v>0.26323963680517581</v>
      </c>
      <c r="F84" s="193">
        <f>VLOOKUP($C84,$D$60:$Z$63,F$32,FALSE)*$D$79*$A84/8760/1000*INDEX('Bulb Weighting'!$B$2:$C$17,MATCH($D84,'Bulb Weighting'!$B$3:$B$17,0)+1,2)</f>
        <v>0.20996149068114264</v>
      </c>
      <c r="G84" s="193">
        <f>VLOOKUP($C84,$D$60:$Z$63,G$32,FALSE)*$D$79*$A84/8760/1000*INDEX('Bulb Weighting'!$B$2:$C$17,MATCH($D84,'Bulb Weighting'!$B$3:$B$17,0)+1,2)</f>
        <v>0.15703020222795613</v>
      </c>
      <c r="H84" s="193">
        <f>VLOOKUP($C84,$D$60:$Z$63,H$32,FALSE)*$D$79*$A84/8760/1000*INDEX('Bulb Weighting'!$B$2:$C$17,MATCH($D84,'Bulb Weighting'!$B$3:$B$17,0)+1,2)</f>
        <v>0.10420526083420267</v>
      </c>
      <c r="I84" s="193">
        <f>VLOOKUP($C84,$D$60:$Z$63,I$32,FALSE)*$D$79*$A84/8760/1000*INDEX('Bulb Weighting'!$B$2:$C$17,MATCH($D84,'Bulb Weighting'!$B$3:$B$17,0)+1,2)</f>
        <v>0</v>
      </c>
      <c r="J84" s="193">
        <f>VLOOKUP($C84,$D$60:$Z$63,J$32,FALSE)*$D$79*$A84/8760/1000*INDEX('Bulb Weighting'!$B$2:$C$17,MATCH($D84,'Bulb Weighting'!$B$3:$B$17,0)+1,2)</f>
        <v>0</v>
      </c>
      <c r="K84" s="193">
        <f>VLOOKUP($C84,$D$60:$Z$63,K$32,FALSE)*$D$79*$A84/8760/1000*INDEX('Bulb Weighting'!$B$2:$C$17,MATCH($D84,'Bulb Weighting'!$B$3:$B$17,0)+1,2)</f>
        <v>0</v>
      </c>
      <c r="L84" s="193">
        <f>VLOOKUP($C84,$D$60:$Z$63,L$32,FALSE)*$D$79*$A84/8760/1000*INDEX('Bulb Weighting'!$B$2:$C$17,MATCH($D84,'Bulb Weighting'!$B$3:$B$17,0)+1,2)</f>
        <v>0</v>
      </c>
      <c r="M84" s="193">
        <f>VLOOKUP($C84,$D$60:$Z$63,M$32,FALSE)*$D$79*$A84/8760/1000*INDEX('Bulb Weighting'!$B$2:$C$17,MATCH($D84,'Bulb Weighting'!$B$3:$B$17,0)+1,2)</f>
        <v>0</v>
      </c>
      <c r="N84" s="193">
        <f>VLOOKUP($C84,$D$60:$Z$63,N$32,FALSE)*$D$79*$A84/8760/1000*INDEX('Bulb Weighting'!$B$2:$C$17,MATCH($D84,'Bulb Weighting'!$B$3:$B$17,0)+1,2)</f>
        <v>0</v>
      </c>
      <c r="O84" s="193">
        <f>VLOOKUP($C84,$D$60:$Z$63,O$32,FALSE)*$D$79*$A84/8760/1000*INDEX('Bulb Weighting'!$B$2:$C$17,MATCH($D84,'Bulb Weighting'!$B$3:$B$17,0)+1,2)</f>
        <v>0</v>
      </c>
      <c r="P84" s="193">
        <f>VLOOKUP($C84,$D$60:$Z$63,P$32,FALSE)*$D$79*$A84/8760/1000*INDEX('Bulb Weighting'!$B$2:$C$17,MATCH($D84,'Bulb Weighting'!$B$3:$B$17,0)+1,2)</f>
        <v>0</v>
      </c>
      <c r="Q84" s="193">
        <f>VLOOKUP($C84,$D$60:$Z$63,Q$32,FALSE)*$D$79*$A84/8760/1000*INDEX('Bulb Weighting'!$B$2:$C$17,MATCH($D84,'Bulb Weighting'!$B$3:$B$17,0)+1,2)</f>
        <v>0</v>
      </c>
      <c r="R84" s="193">
        <f>VLOOKUP($C84,$D$60:$Z$63,R$32,FALSE)*$D$79*$A84/8760/1000*INDEX('Bulb Weighting'!$B$2:$C$17,MATCH($D84,'Bulb Weighting'!$B$3:$B$17,0)+1,2)</f>
        <v>0</v>
      </c>
      <c r="S84" s="193">
        <f>VLOOKUP($C84,$D$60:$Z$63,S$32,FALSE)*$D$79*$A84/8760/1000*INDEX('Bulb Weighting'!$B$2:$C$17,MATCH($D84,'Bulb Weighting'!$B$3:$B$17,0)+1,2)</f>
        <v>0</v>
      </c>
      <c r="T84" s="193">
        <f>VLOOKUP($C84,$D$60:$Z$63,T$32,FALSE)*$D$79*$A84/8760/1000*INDEX('Bulb Weighting'!$B$2:$C$17,MATCH($D84,'Bulb Weighting'!$B$3:$B$17,0)+1,2)</f>
        <v>0</v>
      </c>
      <c r="U84" s="193">
        <f>VLOOKUP($C84,$D$60:$Z$63,U$32,FALSE)*$D$79*$A84/8760/1000*INDEX('Bulb Weighting'!$B$2:$C$17,MATCH($D84,'Bulb Weighting'!$B$3:$B$17,0)+1,2)</f>
        <v>0</v>
      </c>
      <c r="V84" s="193">
        <f>VLOOKUP($C84,$D$60:$Z$63,V$32,FALSE)*$D$79*$A84/8760/1000*INDEX('Bulb Weighting'!$B$2:$C$17,MATCH($D84,'Bulb Weighting'!$B$3:$B$17,0)+1,2)</f>
        <v>0</v>
      </c>
      <c r="W84" s="193">
        <f>VLOOKUP($C84,$D$60:$Z$63,W$32,FALSE)*$D$79*$A84/8760/1000*INDEX('Bulb Weighting'!$B$2:$C$17,MATCH($D84,'Bulb Weighting'!$B$3:$B$17,0)+1,2)</f>
        <v>0</v>
      </c>
      <c r="X84" s="193">
        <f>VLOOKUP($C84,$D$60:$Z$63,X$32,FALSE)*$D$79*$A84/8760/1000*INDEX('Bulb Weighting'!$B$2:$C$17,MATCH($D84,'Bulb Weighting'!$B$3:$B$17,0)+1,2)</f>
        <v>0</v>
      </c>
      <c r="Y84" s="198">
        <f>(VLOOKUP($C84,$D$43:$Z$46,$X$68+3,FALSE)+VLOOKUP($C84,$D$51:$Z$54,$X$68+3,FALSE))*$A84*$D$79/8760/1000*INDEX('Bulb Weighting'!$B$2:$C$17,MATCH($D84,'Bulb Weighting'!$B$3:$B$17,0)+1,2)</f>
        <v>1.5580893009549714</v>
      </c>
      <c r="Z84" s="198"/>
      <c r="AA84" s="198">
        <f t="shared" ref="AA84" si="31">SUM(E84:X84)</f>
        <v>0.73443659054847732</v>
      </c>
      <c r="AB84" s="193"/>
      <c r="AC84" s="234"/>
    </row>
    <row r="85" spans="1:29" s="179" customFormat="1">
      <c r="A85" s="232">
        <f t="shared" si="29"/>
        <v>4.2972366607268073</v>
      </c>
      <c r="B85" s="233">
        <f t="shared" si="28"/>
        <v>-53.268788547414012</v>
      </c>
      <c r="C85" s="182" t="s">
        <v>786</v>
      </c>
      <c r="D85" t="s">
        <v>905</v>
      </c>
      <c r="E85" s="193">
        <f>VLOOKUP($C85,$D$60:$Z$63,E$32,FALSE)*$D$79*$A85/8760/1000*INDEX('Bulb Weighting'!$B$2:$C$17,MATCH($D85,'Bulb Weighting'!$B$3:$B$17,0)+1,2)</f>
        <v>0.79745685756986073</v>
      </c>
      <c r="F85" s="193">
        <f>VLOOKUP($C85,$D$60:$Z$63,F$32,FALSE)*$D$79*$A85/8760/1000*INDEX('Bulb Weighting'!$B$2:$C$17,MATCH($D85,'Bulb Weighting'!$B$3:$B$17,0)+1,2)</f>
        <v>0.63605630444318983</v>
      </c>
      <c r="G85" s="193">
        <f>VLOOKUP($C85,$D$60:$Z$63,G$32,FALSE)*$D$79*$A85/8760/1000*INDEX('Bulb Weighting'!$B$2:$C$17,MATCH($D85,'Bulb Weighting'!$B$3:$B$17,0)+1,2)</f>
        <v>0.47570652023405119</v>
      </c>
      <c r="H85" s="193">
        <f>VLOOKUP($C85,$D$60:$Z$63,H$32,FALSE)*$D$79*$A85/8760/1000*INDEX('Bulb Weighting'!$B$2:$C$17,MATCH($D85,'Bulb Weighting'!$B$3:$B$17,0)+1,2)</f>
        <v>0.31567890328230791</v>
      </c>
      <c r="I85" s="193">
        <f>VLOOKUP($C85,$D$60:$Z$63,I$32,FALSE)*$D$79*$A85/8760/1000*INDEX('Bulb Weighting'!$B$2:$C$17,MATCH($D85,'Bulb Weighting'!$B$3:$B$17,0)+1,2)</f>
        <v>0</v>
      </c>
      <c r="J85" s="193">
        <f>VLOOKUP($C85,$D$60:$Z$63,J$32,FALSE)*$D$79*$A85/8760/1000*INDEX('Bulb Weighting'!$B$2:$C$17,MATCH($D85,'Bulb Weighting'!$B$3:$B$17,0)+1,2)</f>
        <v>0</v>
      </c>
      <c r="K85" s="193">
        <f>VLOOKUP($C85,$D$60:$Z$63,K$32,FALSE)*$D$79*$A85/8760/1000*INDEX('Bulb Weighting'!$B$2:$C$17,MATCH($D85,'Bulb Weighting'!$B$3:$B$17,0)+1,2)</f>
        <v>0</v>
      </c>
      <c r="L85" s="193">
        <f>VLOOKUP($C85,$D$60:$Z$63,L$32,FALSE)*$D$79*$A85/8760/1000*INDEX('Bulb Weighting'!$B$2:$C$17,MATCH($D85,'Bulb Weighting'!$B$3:$B$17,0)+1,2)</f>
        <v>0</v>
      </c>
      <c r="M85" s="193">
        <f>VLOOKUP($C85,$D$60:$Z$63,M$32,FALSE)*$D$79*$A85/8760/1000*INDEX('Bulb Weighting'!$B$2:$C$17,MATCH($D85,'Bulb Weighting'!$B$3:$B$17,0)+1,2)</f>
        <v>0</v>
      </c>
      <c r="N85" s="193">
        <f>VLOOKUP($C85,$D$60:$Z$63,N$32,FALSE)*$D$79*$A85/8760/1000*INDEX('Bulb Weighting'!$B$2:$C$17,MATCH($D85,'Bulb Weighting'!$B$3:$B$17,0)+1,2)</f>
        <v>0</v>
      </c>
      <c r="O85" s="193">
        <f>VLOOKUP($C85,$D$60:$Z$63,O$32,FALSE)*$D$79*$A85/8760/1000*INDEX('Bulb Weighting'!$B$2:$C$17,MATCH($D85,'Bulb Weighting'!$B$3:$B$17,0)+1,2)</f>
        <v>0</v>
      </c>
      <c r="P85" s="193">
        <f>VLOOKUP($C85,$D$60:$Z$63,P$32,FALSE)*$D$79*$A85/8760/1000*INDEX('Bulb Weighting'!$B$2:$C$17,MATCH($D85,'Bulb Weighting'!$B$3:$B$17,0)+1,2)</f>
        <v>0</v>
      </c>
      <c r="Q85" s="193">
        <f>VLOOKUP($C85,$D$60:$Z$63,Q$32,FALSE)*$D$79*$A85/8760/1000*INDEX('Bulb Weighting'!$B$2:$C$17,MATCH($D85,'Bulb Weighting'!$B$3:$B$17,0)+1,2)</f>
        <v>0</v>
      </c>
      <c r="R85" s="193">
        <f>VLOOKUP($C85,$D$60:$Z$63,R$32,FALSE)*$D$79*$A85/8760/1000*INDEX('Bulb Weighting'!$B$2:$C$17,MATCH($D85,'Bulb Weighting'!$B$3:$B$17,0)+1,2)</f>
        <v>0</v>
      </c>
      <c r="S85" s="193">
        <f>VLOOKUP($C85,$D$60:$Z$63,S$32,FALSE)*$D$79*$A85/8760/1000*INDEX('Bulb Weighting'!$B$2:$C$17,MATCH($D85,'Bulb Weighting'!$B$3:$B$17,0)+1,2)</f>
        <v>0</v>
      </c>
      <c r="T85" s="193">
        <f>VLOOKUP($C85,$D$60:$Z$63,T$32,FALSE)*$D$79*$A85/8760/1000*INDEX('Bulb Weighting'!$B$2:$C$17,MATCH($D85,'Bulb Weighting'!$B$3:$B$17,0)+1,2)</f>
        <v>0</v>
      </c>
      <c r="U85" s="193">
        <f>VLOOKUP($C85,$D$60:$Z$63,U$32,FALSE)*$D$79*$A85/8760/1000*INDEX('Bulb Weighting'!$B$2:$C$17,MATCH($D85,'Bulb Weighting'!$B$3:$B$17,0)+1,2)</f>
        <v>0</v>
      </c>
      <c r="V85" s="193">
        <f>VLOOKUP($C85,$D$60:$Z$63,V$32,FALSE)*$D$79*$A85/8760/1000*INDEX('Bulb Weighting'!$B$2:$C$17,MATCH($D85,'Bulb Weighting'!$B$3:$B$17,0)+1,2)</f>
        <v>0</v>
      </c>
      <c r="W85" s="193">
        <f>VLOOKUP($C85,$D$60:$Z$63,W$32,FALSE)*$D$79*$A85/8760/1000*INDEX('Bulb Weighting'!$B$2:$C$17,MATCH($D85,'Bulb Weighting'!$B$3:$B$17,0)+1,2)</f>
        <v>0</v>
      </c>
      <c r="X85" s="193">
        <f>VLOOKUP($C85,$D$60:$Z$63,X$32,FALSE)*$D$79*$A85/8760/1000*INDEX('Bulb Weighting'!$B$2:$C$17,MATCH($D85,'Bulb Weighting'!$B$3:$B$17,0)+1,2)</f>
        <v>0</v>
      </c>
      <c r="Y85" s="198">
        <f>(VLOOKUP($C85,$D$43:$Z$46,$X$68+3,FALSE)+VLOOKUP($C85,$D$51:$Z$54,$X$68+3,FALSE))*$A85*$D$79/8760/1000*INDEX('Bulb Weighting'!$B$2:$C$17,MATCH($D85,'Bulb Weighting'!$B$3:$B$17,0)+1,2)</f>
        <v>4.7200680445869008</v>
      </c>
      <c r="Z85" s="198"/>
      <c r="AA85" s="198">
        <f>SUM(E85:X85)</f>
        <v>2.2248985855294094</v>
      </c>
      <c r="AB85" s="193"/>
      <c r="AC85" s="234"/>
    </row>
    <row r="86" spans="1:29" s="179" customFormat="1">
      <c r="A86" s="232">
        <f t="shared" si="29"/>
        <v>-1.2124345256655047</v>
      </c>
      <c r="B86" s="233">
        <f t="shared" si="28"/>
        <v>9999</v>
      </c>
      <c r="C86" s="182" t="s">
        <v>786</v>
      </c>
      <c r="D86" t="s">
        <v>907</v>
      </c>
      <c r="E86" s="193">
        <f>VLOOKUP($C86,$D$60:$Z$63,E$32,FALSE)*$D$79*$A86/8760/1000*INDEX('Bulb Weighting'!$B$2:$C$17,MATCH($D86,'Bulb Weighting'!$B$3:$B$17,0)+1,2)</f>
        <v>-2.2432463154857415E-2</v>
      </c>
      <c r="F86" s="193">
        <f>VLOOKUP($C86,$D$60:$Z$63,F$32,FALSE)*$D$79*$A86/8760/1000*INDEX('Bulb Weighting'!$B$2:$C$17,MATCH($D86,'Bulb Weighting'!$B$3:$B$17,0)+1,2)</f>
        <v>-1.7892265240927668E-2</v>
      </c>
      <c r="G86" s="193">
        <f>VLOOKUP($C86,$D$60:$Z$63,G$32,FALSE)*$D$79*$A86/8760/1000*INDEX('Bulb Weighting'!$B$2:$C$17,MATCH($D86,'Bulb Weighting'!$B$3:$B$17,0)+1,2)</f>
        <v>-1.3381625458955859E-2</v>
      </c>
      <c r="H86" s="193">
        <f>VLOOKUP($C86,$D$60:$Z$63,H$32,FALSE)*$D$79*$A86/8760/1000*INDEX('Bulb Weighting'!$B$2:$C$17,MATCH($D86,'Bulb Weighting'!$B$3:$B$17,0)+1,2)</f>
        <v>-8.880048242642144E-3</v>
      </c>
      <c r="I86" s="193">
        <f>VLOOKUP($C86,$D$60:$Z$63,I$32,FALSE)*$D$79*$A86/8760/1000*INDEX('Bulb Weighting'!$B$2:$C$17,MATCH($D86,'Bulb Weighting'!$B$3:$B$17,0)+1,2)</f>
        <v>0</v>
      </c>
      <c r="J86" s="193">
        <f>VLOOKUP($C86,$D$60:$Z$63,J$32,FALSE)*$D$79*$A86/8760/1000*INDEX('Bulb Weighting'!$B$2:$C$17,MATCH($D86,'Bulb Weighting'!$B$3:$B$17,0)+1,2)</f>
        <v>0</v>
      </c>
      <c r="K86" s="193">
        <f>VLOOKUP($C86,$D$60:$Z$63,K$32,FALSE)*$D$79*$A86/8760/1000*INDEX('Bulb Weighting'!$B$2:$C$17,MATCH($D86,'Bulb Weighting'!$B$3:$B$17,0)+1,2)</f>
        <v>0</v>
      </c>
      <c r="L86" s="193">
        <f>VLOOKUP($C86,$D$60:$Z$63,L$32,FALSE)*$D$79*$A86/8760/1000*INDEX('Bulb Weighting'!$B$2:$C$17,MATCH($D86,'Bulb Weighting'!$B$3:$B$17,0)+1,2)</f>
        <v>0</v>
      </c>
      <c r="M86" s="193">
        <f>VLOOKUP($C86,$D$60:$Z$63,M$32,FALSE)*$D$79*$A86/8760/1000*INDEX('Bulb Weighting'!$B$2:$C$17,MATCH($D86,'Bulb Weighting'!$B$3:$B$17,0)+1,2)</f>
        <v>0</v>
      </c>
      <c r="N86" s="193">
        <f>VLOOKUP($C86,$D$60:$Z$63,N$32,FALSE)*$D$79*$A86/8760/1000*INDEX('Bulb Weighting'!$B$2:$C$17,MATCH($D86,'Bulb Weighting'!$B$3:$B$17,0)+1,2)</f>
        <v>0</v>
      </c>
      <c r="O86" s="193">
        <f>VLOOKUP($C86,$D$60:$Z$63,O$32,FALSE)*$D$79*$A86/8760/1000*INDEX('Bulb Weighting'!$B$2:$C$17,MATCH($D86,'Bulb Weighting'!$B$3:$B$17,0)+1,2)</f>
        <v>0</v>
      </c>
      <c r="P86" s="193">
        <f>VLOOKUP($C86,$D$60:$Z$63,P$32,FALSE)*$D$79*$A86/8760/1000*INDEX('Bulb Weighting'!$B$2:$C$17,MATCH($D86,'Bulb Weighting'!$B$3:$B$17,0)+1,2)</f>
        <v>0</v>
      </c>
      <c r="Q86" s="193">
        <f>VLOOKUP($C86,$D$60:$Z$63,Q$32,FALSE)*$D$79*$A86/8760/1000*INDEX('Bulb Weighting'!$B$2:$C$17,MATCH($D86,'Bulb Weighting'!$B$3:$B$17,0)+1,2)</f>
        <v>0</v>
      </c>
      <c r="R86" s="193">
        <f>VLOOKUP($C86,$D$60:$Z$63,R$32,FALSE)*$D$79*$A86/8760/1000*INDEX('Bulb Weighting'!$B$2:$C$17,MATCH($D86,'Bulb Weighting'!$B$3:$B$17,0)+1,2)</f>
        <v>0</v>
      </c>
      <c r="S86" s="193">
        <f>VLOOKUP($C86,$D$60:$Z$63,S$32,FALSE)*$D$79*$A86/8760/1000*INDEX('Bulb Weighting'!$B$2:$C$17,MATCH($D86,'Bulb Weighting'!$B$3:$B$17,0)+1,2)</f>
        <v>0</v>
      </c>
      <c r="T86" s="193">
        <f>VLOOKUP($C86,$D$60:$Z$63,T$32,FALSE)*$D$79*$A86/8760/1000*INDEX('Bulb Weighting'!$B$2:$C$17,MATCH($D86,'Bulb Weighting'!$B$3:$B$17,0)+1,2)</f>
        <v>0</v>
      </c>
      <c r="U86" s="193">
        <f>VLOOKUP($C86,$D$60:$Z$63,U$32,FALSE)*$D$79*$A86/8760/1000*INDEX('Bulb Weighting'!$B$2:$C$17,MATCH($D86,'Bulb Weighting'!$B$3:$B$17,0)+1,2)</f>
        <v>0</v>
      </c>
      <c r="V86" s="193">
        <f>VLOOKUP($C86,$D$60:$Z$63,V$32,FALSE)*$D$79*$A86/8760/1000*INDEX('Bulb Weighting'!$B$2:$C$17,MATCH($D86,'Bulb Weighting'!$B$3:$B$17,0)+1,2)</f>
        <v>0</v>
      </c>
      <c r="W86" s="193">
        <f>VLOOKUP($C86,$D$60:$Z$63,W$32,FALSE)*$D$79*$A86/8760/1000*INDEX('Bulb Weighting'!$B$2:$C$17,MATCH($D86,'Bulb Weighting'!$B$3:$B$17,0)+1,2)</f>
        <v>0</v>
      </c>
      <c r="X86" s="193">
        <f>VLOOKUP($C86,$D$60:$Z$63,X$32,FALSE)*$D$79*$A86/8760/1000*INDEX('Bulb Weighting'!$B$2:$C$17,MATCH($D86,'Bulb Weighting'!$B$3:$B$17,0)+1,2)</f>
        <v>0</v>
      </c>
      <c r="Y86" s="198">
        <f>(VLOOKUP($C86,$D$43:$Z$46,$X$68+3,FALSE)+VLOOKUP($C86,$D$51:$Z$54,$X$68+3,FALSE))*$A86*$D$79/8760/1000*INDEX('Bulb Weighting'!$B$2:$C$17,MATCH($D86,'Bulb Weighting'!$B$3:$B$17,0)+1,2)</f>
        <v>-0.13277552446069441</v>
      </c>
      <c r="Z86" s="198"/>
      <c r="AA86" s="198">
        <f t="shared" ref="AA86" si="32">SUM(E86:X86)</f>
        <v>-6.2586402097383087E-2</v>
      </c>
      <c r="AB86" s="193"/>
      <c r="AC86" s="234"/>
    </row>
    <row r="87" spans="1:29" s="179" customFormat="1">
      <c r="A87" s="232">
        <f t="shared" si="29"/>
        <v>10.945904277975469</v>
      </c>
      <c r="B87" s="233">
        <f t="shared" si="28"/>
        <v>-72.33729952335888</v>
      </c>
      <c r="C87" s="182" t="str">
        <f>C15</f>
        <v>Multifamily - High Rise</v>
      </c>
      <c r="D87" t="s">
        <v>903</v>
      </c>
      <c r="E87" s="193">
        <f>VLOOKUP($C87,$D$60:$Z$63,E$32,FALSE)*$D$79*$A87/8760/1000*INDEX('Bulb Weighting'!$B$2:$C$17,MATCH($D87,'Bulb Weighting'!$B$3:$B$17,0)+1,2)</f>
        <v>5.9943872188507989E-2</v>
      </c>
      <c r="F87" s="193">
        <f>VLOOKUP($C87,$D$60:$Z$63,F$32,FALSE)*$D$79*$A87/8760/1000*INDEX('Bulb Weighting'!$B$2:$C$17,MATCH($D87,'Bulb Weighting'!$B$3:$B$17,0)+1,2)</f>
        <v>4.7864711922577748E-2</v>
      </c>
      <c r="G87" s="193">
        <f>VLOOKUP($C87,$D$60:$Z$63,G$32,FALSE)*$D$79*$A87/8760/1000*INDEX('Bulb Weighting'!$B$2:$C$17,MATCH($D87,'Bulb Weighting'!$B$3:$B$17,0)+1,2)</f>
        <v>3.5840463629600056E-2</v>
      </c>
      <c r="H87" s="193">
        <f>VLOOKUP($C87,$D$60:$Z$63,H$32,FALSE)*$D$79*$A87/8760/1000*INDEX('Bulb Weighting'!$B$2:$C$17,MATCH($D87,'Bulb Weighting'!$B$3:$B$17,0)+1,2)</f>
        <v>2.3740464538086734E-2</v>
      </c>
      <c r="I87" s="193">
        <f>VLOOKUP($C87,$D$60:$Z$63,I$32,FALSE)*$D$79*$A87/8760/1000*INDEX('Bulb Weighting'!$B$2:$C$17,MATCH($D87,'Bulb Weighting'!$B$3:$B$17,0)+1,2)</f>
        <v>0</v>
      </c>
      <c r="J87" s="193">
        <f>VLOOKUP($C87,$D$60:$Z$63,J$32,FALSE)*$D$79*$A87/8760/1000*INDEX('Bulb Weighting'!$B$2:$C$17,MATCH($D87,'Bulb Weighting'!$B$3:$B$17,0)+1,2)</f>
        <v>0</v>
      </c>
      <c r="K87" s="193">
        <f>VLOOKUP($C87,$D$60:$Z$63,K$32,FALSE)*$D$79*$A87/8760/1000*INDEX('Bulb Weighting'!$B$2:$C$17,MATCH($D87,'Bulb Weighting'!$B$3:$B$17,0)+1,2)</f>
        <v>0</v>
      </c>
      <c r="L87" s="193">
        <f>VLOOKUP($C87,$D$60:$Z$63,L$32,FALSE)*$D$79*$A87/8760/1000*INDEX('Bulb Weighting'!$B$2:$C$17,MATCH($D87,'Bulb Weighting'!$B$3:$B$17,0)+1,2)</f>
        <v>0</v>
      </c>
      <c r="M87" s="193">
        <f>VLOOKUP($C87,$D$60:$Z$63,M$32,FALSE)*$D$79*$A87/8760/1000*INDEX('Bulb Weighting'!$B$2:$C$17,MATCH($D87,'Bulb Weighting'!$B$3:$B$17,0)+1,2)</f>
        <v>0</v>
      </c>
      <c r="N87" s="193">
        <f>VLOOKUP($C87,$D$60:$Z$63,N$32,FALSE)*$D$79*$A87/8760/1000*INDEX('Bulb Weighting'!$B$2:$C$17,MATCH($D87,'Bulb Weighting'!$B$3:$B$17,0)+1,2)</f>
        <v>0</v>
      </c>
      <c r="O87" s="193">
        <f>VLOOKUP($C87,$D$60:$Z$63,O$32,FALSE)*$D$79*$A87/8760/1000*INDEX('Bulb Weighting'!$B$2:$C$17,MATCH($D87,'Bulb Weighting'!$B$3:$B$17,0)+1,2)</f>
        <v>0</v>
      </c>
      <c r="P87" s="193">
        <f>VLOOKUP($C87,$D$60:$Z$63,P$32,FALSE)*$D$79*$A87/8760/1000*INDEX('Bulb Weighting'!$B$2:$C$17,MATCH($D87,'Bulb Weighting'!$B$3:$B$17,0)+1,2)</f>
        <v>0</v>
      </c>
      <c r="Q87" s="193">
        <f>VLOOKUP($C87,$D$60:$Z$63,Q$32,FALSE)*$D$79*$A87/8760/1000*INDEX('Bulb Weighting'!$B$2:$C$17,MATCH($D87,'Bulb Weighting'!$B$3:$B$17,0)+1,2)</f>
        <v>0</v>
      </c>
      <c r="R87" s="193">
        <f>VLOOKUP($C87,$D$60:$Z$63,R$32,FALSE)*$D$79*$A87/8760/1000*INDEX('Bulb Weighting'!$B$2:$C$17,MATCH($D87,'Bulb Weighting'!$B$3:$B$17,0)+1,2)</f>
        <v>0</v>
      </c>
      <c r="S87" s="193">
        <f>VLOOKUP($C87,$D$60:$Z$63,S$32,FALSE)*$D$79*$A87/8760/1000*INDEX('Bulb Weighting'!$B$2:$C$17,MATCH($D87,'Bulb Weighting'!$B$3:$B$17,0)+1,2)</f>
        <v>0</v>
      </c>
      <c r="T87" s="193">
        <f>VLOOKUP($C87,$D$60:$Z$63,T$32,FALSE)*$D$79*$A87/8760/1000*INDEX('Bulb Weighting'!$B$2:$C$17,MATCH($D87,'Bulb Weighting'!$B$3:$B$17,0)+1,2)</f>
        <v>0</v>
      </c>
      <c r="U87" s="193">
        <f>VLOOKUP($C87,$D$60:$Z$63,U$32,FALSE)*$D$79*$A87/8760/1000*INDEX('Bulb Weighting'!$B$2:$C$17,MATCH($D87,'Bulb Weighting'!$B$3:$B$17,0)+1,2)</f>
        <v>0</v>
      </c>
      <c r="V87" s="193">
        <f>VLOOKUP($C87,$D$60:$Z$63,V$32,FALSE)*$D$79*$A87/8760/1000*INDEX('Bulb Weighting'!$B$2:$C$17,MATCH($D87,'Bulb Weighting'!$B$3:$B$17,0)+1,2)</f>
        <v>0</v>
      </c>
      <c r="W87" s="193">
        <f>VLOOKUP($C87,$D$60:$Z$63,W$32,FALSE)*$D$79*$A87/8760/1000*INDEX('Bulb Weighting'!$B$2:$C$17,MATCH($D87,'Bulb Weighting'!$B$3:$B$17,0)+1,2)</f>
        <v>0</v>
      </c>
      <c r="X87" s="193">
        <f>VLOOKUP($C87,$D$60:$Z$63,X$32,FALSE)*$D$79*$A87/8760/1000*INDEX('Bulb Weighting'!$B$2:$C$17,MATCH($D87,'Bulb Weighting'!$B$3:$B$17,0)+1,2)</f>
        <v>0</v>
      </c>
      <c r="Y87" s="198">
        <f>(VLOOKUP($C87,$D$43:$Z$46,$X$68+3,FALSE)+VLOOKUP($C87,$D$51:$Z$54,$X$68+3,FALSE))*$A87*$D$79/8760/1000*INDEX('Bulb Weighting'!$B$2:$C$17,MATCH($D87,'Bulb Weighting'!$B$3:$B$17,0)+1,2)</f>
        <v>0.35515659315643539</v>
      </c>
      <c r="Z87" s="198"/>
      <c r="AA87" s="198">
        <f t="shared" ref="AA87:AA88" si="33">SUM(E87:X87)</f>
        <v>0.16738951227877252</v>
      </c>
      <c r="AB87" s="193"/>
      <c r="AC87" s="234"/>
    </row>
    <row r="88" spans="1:29" s="179" customFormat="1">
      <c r="A88" s="232">
        <f t="shared" si="29"/>
        <v>4.2972366607268073</v>
      </c>
      <c r="B88" s="233">
        <f t="shared" si="28"/>
        <v>-53.268788547414012</v>
      </c>
      <c r="C88" s="182" t="s">
        <v>787</v>
      </c>
      <c r="D88" t="s">
        <v>905</v>
      </c>
      <c r="E88" s="193">
        <f>VLOOKUP($C88,$D$60:$Z$63,E$32,FALSE)*$D$79*$A88/8760/1000*INDEX('Bulb Weighting'!$B$2:$C$17,MATCH($D88,'Bulb Weighting'!$B$3:$B$17,0)+1,2)</f>
        <v>0.18159367079432565</v>
      </c>
      <c r="F88" s="193">
        <f>VLOOKUP($C88,$D$60:$Z$63,F$32,FALSE)*$D$79*$A88/8760/1000*INDEX('Bulb Weighting'!$B$2:$C$17,MATCH($D88,'Bulb Weighting'!$B$3:$B$17,0)+1,2)</f>
        <v>0.14500112225316292</v>
      </c>
      <c r="G88" s="193">
        <f>VLOOKUP($C88,$D$60:$Z$63,G$32,FALSE)*$D$79*$A88/8760/1000*INDEX('Bulb Weighting'!$B$2:$C$17,MATCH($D88,'Bulb Weighting'!$B$3:$B$17,0)+1,2)</f>
        <v>0.10857492377206386</v>
      </c>
      <c r="H88" s="193">
        <f>VLOOKUP($C88,$D$60:$Z$63,H$32,FALSE)*$D$79*$A88/8760/1000*INDEX('Bulb Weighting'!$B$2:$C$17,MATCH($D88,'Bulb Weighting'!$B$3:$B$17,0)+1,2)</f>
        <v>7.1919246195446512E-2</v>
      </c>
      <c r="I88" s="193">
        <f>VLOOKUP($C88,$D$60:$Z$63,I$32,FALSE)*$D$79*$A88/8760/1000*INDEX('Bulb Weighting'!$B$2:$C$17,MATCH($D88,'Bulb Weighting'!$B$3:$B$17,0)+1,2)</f>
        <v>0</v>
      </c>
      <c r="J88" s="193">
        <f>VLOOKUP($C88,$D$60:$Z$63,J$32,FALSE)*$D$79*$A88/8760/1000*INDEX('Bulb Weighting'!$B$2:$C$17,MATCH($D88,'Bulb Weighting'!$B$3:$B$17,0)+1,2)</f>
        <v>0</v>
      </c>
      <c r="K88" s="193">
        <f>VLOOKUP($C88,$D$60:$Z$63,K$32,FALSE)*$D$79*$A88/8760/1000*INDEX('Bulb Weighting'!$B$2:$C$17,MATCH($D88,'Bulb Weighting'!$B$3:$B$17,0)+1,2)</f>
        <v>0</v>
      </c>
      <c r="L88" s="193">
        <f>VLOOKUP($C88,$D$60:$Z$63,L$32,FALSE)*$D$79*$A88/8760/1000*INDEX('Bulb Weighting'!$B$2:$C$17,MATCH($D88,'Bulb Weighting'!$B$3:$B$17,0)+1,2)</f>
        <v>0</v>
      </c>
      <c r="M88" s="193">
        <f>VLOOKUP($C88,$D$60:$Z$63,M$32,FALSE)*$D$79*$A88/8760/1000*INDEX('Bulb Weighting'!$B$2:$C$17,MATCH($D88,'Bulb Weighting'!$B$3:$B$17,0)+1,2)</f>
        <v>0</v>
      </c>
      <c r="N88" s="193">
        <f>VLOOKUP($C88,$D$60:$Z$63,N$32,FALSE)*$D$79*$A88/8760/1000*INDEX('Bulb Weighting'!$B$2:$C$17,MATCH($D88,'Bulb Weighting'!$B$3:$B$17,0)+1,2)</f>
        <v>0</v>
      </c>
      <c r="O88" s="193">
        <f>VLOOKUP($C88,$D$60:$Z$63,O$32,FALSE)*$D$79*$A88/8760/1000*INDEX('Bulb Weighting'!$B$2:$C$17,MATCH($D88,'Bulb Weighting'!$B$3:$B$17,0)+1,2)</f>
        <v>0</v>
      </c>
      <c r="P88" s="193">
        <f>VLOOKUP($C88,$D$60:$Z$63,P$32,FALSE)*$D$79*$A88/8760/1000*INDEX('Bulb Weighting'!$B$2:$C$17,MATCH($D88,'Bulb Weighting'!$B$3:$B$17,0)+1,2)</f>
        <v>0</v>
      </c>
      <c r="Q88" s="193">
        <f>VLOOKUP($C88,$D$60:$Z$63,Q$32,FALSE)*$D$79*$A88/8760/1000*INDEX('Bulb Weighting'!$B$2:$C$17,MATCH($D88,'Bulb Weighting'!$B$3:$B$17,0)+1,2)</f>
        <v>0</v>
      </c>
      <c r="R88" s="193">
        <f>VLOOKUP($C88,$D$60:$Z$63,R$32,FALSE)*$D$79*$A88/8760/1000*INDEX('Bulb Weighting'!$B$2:$C$17,MATCH($D88,'Bulb Weighting'!$B$3:$B$17,0)+1,2)</f>
        <v>0</v>
      </c>
      <c r="S88" s="193">
        <f>VLOOKUP($C88,$D$60:$Z$63,S$32,FALSE)*$D$79*$A88/8760/1000*INDEX('Bulb Weighting'!$B$2:$C$17,MATCH($D88,'Bulb Weighting'!$B$3:$B$17,0)+1,2)</f>
        <v>0</v>
      </c>
      <c r="T88" s="193">
        <f>VLOOKUP($C88,$D$60:$Z$63,T$32,FALSE)*$D$79*$A88/8760/1000*INDEX('Bulb Weighting'!$B$2:$C$17,MATCH($D88,'Bulb Weighting'!$B$3:$B$17,0)+1,2)</f>
        <v>0</v>
      </c>
      <c r="U88" s="193">
        <f>VLOOKUP($C88,$D$60:$Z$63,U$32,FALSE)*$D$79*$A88/8760/1000*INDEX('Bulb Weighting'!$B$2:$C$17,MATCH($D88,'Bulb Weighting'!$B$3:$B$17,0)+1,2)</f>
        <v>0</v>
      </c>
      <c r="V88" s="193">
        <f>VLOOKUP($C88,$D$60:$Z$63,V$32,FALSE)*$D$79*$A88/8760/1000*INDEX('Bulb Weighting'!$B$2:$C$17,MATCH($D88,'Bulb Weighting'!$B$3:$B$17,0)+1,2)</f>
        <v>0</v>
      </c>
      <c r="W88" s="193">
        <f>VLOOKUP($C88,$D$60:$Z$63,W$32,FALSE)*$D$79*$A88/8760/1000*INDEX('Bulb Weighting'!$B$2:$C$17,MATCH($D88,'Bulb Weighting'!$B$3:$B$17,0)+1,2)</f>
        <v>0</v>
      </c>
      <c r="X88" s="193">
        <f>VLOOKUP($C88,$D$60:$Z$63,X$32,FALSE)*$D$79*$A88/8760/1000*INDEX('Bulb Weighting'!$B$2:$C$17,MATCH($D88,'Bulb Weighting'!$B$3:$B$17,0)+1,2)</f>
        <v>0</v>
      </c>
      <c r="Y88" s="198">
        <f>(VLOOKUP($C88,$D$43:$Z$46,$X$68+3,FALSE)+VLOOKUP($C88,$D$51:$Z$54,$X$68+3,FALSE))*$A88*$D$79/8760/1000*INDEX('Bulb Weighting'!$B$2:$C$17,MATCH($D88,'Bulb Weighting'!$B$3:$B$17,0)+1,2)</f>
        <v>1.0759096318513834</v>
      </c>
      <c r="Z88" s="198"/>
      <c r="AA88" s="198">
        <f t="shared" si="33"/>
        <v>0.50708896301499895</v>
      </c>
      <c r="AB88" s="193"/>
      <c r="AC88" s="234"/>
    </row>
    <row r="89" spans="1:29" s="179" customFormat="1">
      <c r="A89" s="232">
        <f t="shared" si="29"/>
        <v>-1.2124345256655047</v>
      </c>
      <c r="B89" s="233">
        <f t="shared" si="28"/>
        <v>9999</v>
      </c>
      <c r="C89" s="182" t="s">
        <v>787</v>
      </c>
      <c r="D89" t="s">
        <v>907</v>
      </c>
      <c r="E89" s="193">
        <f>VLOOKUP($C89,$D$60:$Z$63,E$32,FALSE)*$D$79*$A89/8760/1000*INDEX('Bulb Weighting'!$B$2:$C$17,MATCH($D89,'Bulb Weighting'!$B$3:$B$17,0)+1,2)</f>
        <v>-5.1082303582700743E-3</v>
      </c>
      <c r="F89" s="193">
        <f>VLOOKUP($C89,$D$60:$Z$63,F$32,FALSE)*$D$79*$A89/8760/1000*INDEX('Bulb Weighting'!$B$2:$C$17,MATCH($D89,'Bulb Weighting'!$B$3:$B$17,0)+1,2)</f>
        <v>-4.0788818874406612E-3</v>
      </c>
      <c r="G89" s="193">
        <f>VLOOKUP($C89,$D$60:$Z$63,G$32,FALSE)*$D$79*$A89/8760/1000*INDEX('Bulb Weighting'!$B$2:$C$17,MATCH($D89,'Bulb Weighting'!$B$3:$B$17,0)+1,2)</f>
        <v>-3.0542128441661885E-3</v>
      </c>
      <c r="H89" s="193">
        <f>VLOOKUP($C89,$D$60:$Z$63,H$32,FALSE)*$D$79*$A89/8760/1000*INDEX('Bulb Weighting'!$B$2:$C$17,MATCH($D89,'Bulb Weighting'!$B$3:$B$17,0)+1,2)</f>
        <v>-2.0230885534307896E-3</v>
      </c>
      <c r="I89" s="193">
        <f>VLOOKUP($C89,$D$60:$Z$63,I$32,FALSE)*$D$79*$A89/8760/1000*INDEX('Bulb Weighting'!$B$2:$C$17,MATCH($D89,'Bulb Weighting'!$B$3:$B$17,0)+1,2)</f>
        <v>0</v>
      </c>
      <c r="J89" s="193">
        <f>VLOOKUP($C89,$D$60:$Z$63,J$32,FALSE)*$D$79*$A89/8760/1000*INDEX('Bulb Weighting'!$B$2:$C$17,MATCH($D89,'Bulb Weighting'!$B$3:$B$17,0)+1,2)</f>
        <v>0</v>
      </c>
      <c r="K89" s="193">
        <f>VLOOKUP($C89,$D$60:$Z$63,K$32,FALSE)*$D$79*$A89/8760/1000*INDEX('Bulb Weighting'!$B$2:$C$17,MATCH($D89,'Bulb Weighting'!$B$3:$B$17,0)+1,2)</f>
        <v>0</v>
      </c>
      <c r="L89" s="193">
        <f>VLOOKUP($C89,$D$60:$Z$63,L$32,FALSE)*$D$79*$A89/8760/1000*INDEX('Bulb Weighting'!$B$2:$C$17,MATCH($D89,'Bulb Weighting'!$B$3:$B$17,0)+1,2)</f>
        <v>0</v>
      </c>
      <c r="M89" s="193">
        <f>VLOOKUP($C89,$D$60:$Z$63,M$32,FALSE)*$D$79*$A89/8760/1000*INDEX('Bulb Weighting'!$B$2:$C$17,MATCH($D89,'Bulb Weighting'!$B$3:$B$17,0)+1,2)</f>
        <v>0</v>
      </c>
      <c r="N89" s="193">
        <f>VLOOKUP($C89,$D$60:$Z$63,N$32,FALSE)*$D$79*$A89/8760/1000*INDEX('Bulb Weighting'!$B$2:$C$17,MATCH($D89,'Bulb Weighting'!$B$3:$B$17,0)+1,2)</f>
        <v>0</v>
      </c>
      <c r="O89" s="193">
        <f>VLOOKUP($C89,$D$60:$Z$63,O$32,FALSE)*$D$79*$A89/8760/1000*INDEX('Bulb Weighting'!$B$2:$C$17,MATCH($D89,'Bulb Weighting'!$B$3:$B$17,0)+1,2)</f>
        <v>0</v>
      </c>
      <c r="P89" s="193">
        <f>VLOOKUP($C89,$D$60:$Z$63,P$32,FALSE)*$D$79*$A89/8760/1000*INDEX('Bulb Weighting'!$B$2:$C$17,MATCH($D89,'Bulb Weighting'!$B$3:$B$17,0)+1,2)</f>
        <v>0</v>
      </c>
      <c r="Q89" s="193">
        <f>VLOOKUP($C89,$D$60:$Z$63,Q$32,FALSE)*$D$79*$A89/8760/1000*INDEX('Bulb Weighting'!$B$2:$C$17,MATCH($D89,'Bulb Weighting'!$B$3:$B$17,0)+1,2)</f>
        <v>0</v>
      </c>
      <c r="R89" s="193">
        <f>VLOOKUP($C89,$D$60:$Z$63,R$32,FALSE)*$D$79*$A89/8760/1000*INDEX('Bulb Weighting'!$B$2:$C$17,MATCH($D89,'Bulb Weighting'!$B$3:$B$17,0)+1,2)</f>
        <v>0</v>
      </c>
      <c r="S89" s="193">
        <f>VLOOKUP($C89,$D$60:$Z$63,S$32,FALSE)*$D$79*$A89/8760/1000*INDEX('Bulb Weighting'!$B$2:$C$17,MATCH($D89,'Bulb Weighting'!$B$3:$B$17,0)+1,2)</f>
        <v>0</v>
      </c>
      <c r="T89" s="193">
        <f>VLOOKUP($C89,$D$60:$Z$63,T$32,FALSE)*$D$79*$A89/8760/1000*INDEX('Bulb Weighting'!$B$2:$C$17,MATCH($D89,'Bulb Weighting'!$B$3:$B$17,0)+1,2)</f>
        <v>0</v>
      </c>
      <c r="U89" s="193">
        <f>VLOOKUP($C89,$D$60:$Z$63,U$32,FALSE)*$D$79*$A89/8760/1000*INDEX('Bulb Weighting'!$B$2:$C$17,MATCH($D89,'Bulb Weighting'!$B$3:$B$17,0)+1,2)</f>
        <v>0</v>
      </c>
      <c r="V89" s="193">
        <f>VLOOKUP($C89,$D$60:$Z$63,V$32,FALSE)*$D$79*$A89/8760/1000*INDEX('Bulb Weighting'!$B$2:$C$17,MATCH($D89,'Bulb Weighting'!$B$3:$B$17,0)+1,2)</f>
        <v>0</v>
      </c>
      <c r="W89" s="193">
        <f>VLOOKUP($C89,$D$60:$Z$63,W$32,FALSE)*$D$79*$A89/8760/1000*INDEX('Bulb Weighting'!$B$2:$C$17,MATCH($D89,'Bulb Weighting'!$B$3:$B$17,0)+1,2)</f>
        <v>0</v>
      </c>
      <c r="X89" s="193">
        <f>VLOOKUP($C89,$D$60:$Z$63,X$32,FALSE)*$D$79*$A89/8760/1000*INDEX('Bulb Weighting'!$B$2:$C$17,MATCH($D89,'Bulb Weighting'!$B$3:$B$17,0)+1,2)</f>
        <v>0</v>
      </c>
      <c r="Y89" s="198">
        <f>(VLOOKUP($C89,$D$43:$Z$46,$X$68+3,FALSE)+VLOOKUP($C89,$D$51:$Z$54,$X$68+3,FALSE))*$A89*$D$79/8760/1000*INDEX('Bulb Weighting'!$B$2:$C$17,MATCH($D89,'Bulb Weighting'!$B$3:$B$17,0)+1,2)</f>
        <v>-3.0265340306949457E-2</v>
      </c>
      <c r="Z89" s="198"/>
      <c r="AA89" s="198">
        <f>SUM(E89:X89)</f>
        <v>-1.4264413643307714E-2</v>
      </c>
      <c r="AB89" s="193"/>
      <c r="AC89" s="234"/>
    </row>
    <row r="90" spans="1:29" s="179" customFormat="1">
      <c r="A90" s="232">
        <f t="shared" si="29"/>
        <v>10.945904277975469</v>
      </c>
      <c r="B90" s="233">
        <f t="shared" si="28"/>
        <v>-72.33729952335888</v>
      </c>
      <c r="C90" s="182" t="str">
        <f>C16</f>
        <v>Manufactured</v>
      </c>
      <c r="D90" t="s">
        <v>903</v>
      </c>
      <c r="E90" s="193">
        <f>VLOOKUP($C90,$D$60:$Z$63,E$32,FALSE)*$D$79*$A90/8760/1000*INDEX('Bulb Weighting'!$B$2:$C$17,MATCH($D90,'Bulb Weighting'!$B$3:$B$17,0)+1,2)</f>
        <v>0.22687804161507155</v>
      </c>
      <c r="F90" s="193">
        <f>VLOOKUP($C90,$D$60:$Z$63,F$32,FALSE)*$D$79*$A90/8760/1000*INDEX('Bulb Weighting'!$B$2:$C$17,MATCH($D90,'Bulb Weighting'!$B$3:$B$17,0)+1,2)</f>
        <v>0.17959767055039697</v>
      </c>
      <c r="G90" s="193">
        <f>VLOOKUP($C90,$D$60:$Z$63,G$32,FALSE)*$D$79*$A90/8760/1000*INDEX('Bulb Weighting'!$B$2:$C$17,MATCH($D90,'Bulb Weighting'!$B$3:$B$17,0)+1,2)</f>
        <v>0.13332992255276013</v>
      </c>
      <c r="H90" s="193">
        <f>VLOOKUP($C90,$D$60:$Z$63,H$32,FALSE)*$D$79*$A90/8760/1000*INDEX('Bulb Weighting'!$B$2:$C$17,MATCH($D90,'Bulb Weighting'!$B$3:$B$17,0)+1,2)</f>
        <v>8.7987098305177258E-2</v>
      </c>
      <c r="I90" s="193">
        <f>VLOOKUP($C90,$D$60:$Z$63,I$32,FALSE)*$D$79*$A90/8760/1000*INDEX('Bulb Weighting'!$B$2:$C$17,MATCH($D90,'Bulb Weighting'!$B$3:$B$17,0)+1,2)</f>
        <v>0</v>
      </c>
      <c r="J90" s="193">
        <f>VLOOKUP($C90,$D$60:$Z$63,J$32,FALSE)*$D$79*$A90/8760/1000*INDEX('Bulb Weighting'!$B$2:$C$17,MATCH($D90,'Bulb Weighting'!$B$3:$B$17,0)+1,2)</f>
        <v>0</v>
      </c>
      <c r="K90" s="193">
        <f>VLOOKUP($C90,$D$60:$Z$63,K$32,FALSE)*$D$79*$A90/8760/1000*INDEX('Bulb Weighting'!$B$2:$C$17,MATCH($D90,'Bulb Weighting'!$B$3:$B$17,0)+1,2)</f>
        <v>0</v>
      </c>
      <c r="L90" s="193">
        <f>VLOOKUP($C90,$D$60:$Z$63,L$32,FALSE)*$D$79*$A90/8760/1000*INDEX('Bulb Weighting'!$B$2:$C$17,MATCH($D90,'Bulb Weighting'!$B$3:$B$17,0)+1,2)</f>
        <v>0</v>
      </c>
      <c r="M90" s="193">
        <f>VLOOKUP($C90,$D$60:$Z$63,M$32,FALSE)*$D$79*$A90/8760/1000*INDEX('Bulb Weighting'!$B$2:$C$17,MATCH($D90,'Bulb Weighting'!$B$3:$B$17,0)+1,2)</f>
        <v>0</v>
      </c>
      <c r="N90" s="193">
        <f>VLOOKUP($C90,$D$60:$Z$63,N$32,FALSE)*$D$79*$A90/8760/1000*INDEX('Bulb Weighting'!$B$2:$C$17,MATCH($D90,'Bulb Weighting'!$B$3:$B$17,0)+1,2)</f>
        <v>0</v>
      </c>
      <c r="O90" s="193">
        <f>VLOOKUP($C90,$D$60:$Z$63,O$32,FALSE)*$D$79*$A90/8760/1000*INDEX('Bulb Weighting'!$B$2:$C$17,MATCH($D90,'Bulb Weighting'!$B$3:$B$17,0)+1,2)</f>
        <v>0</v>
      </c>
      <c r="P90" s="193">
        <f>VLOOKUP($C90,$D$60:$Z$63,P$32,FALSE)*$D$79*$A90/8760/1000*INDEX('Bulb Weighting'!$B$2:$C$17,MATCH($D90,'Bulb Weighting'!$B$3:$B$17,0)+1,2)</f>
        <v>0</v>
      </c>
      <c r="Q90" s="193">
        <f>VLOOKUP($C90,$D$60:$Z$63,Q$32,FALSE)*$D$79*$A90/8760/1000*INDEX('Bulb Weighting'!$B$2:$C$17,MATCH($D90,'Bulb Weighting'!$B$3:$B$17,0)+1,2)</f>
        <v>0</v>
      </c>
      <c r="R90" s="193">
        <f>VLOOKUP($C90,$D$60:$Z$63,R$32,FALSE)*$D$79*$A90/8760/1000*INDEX('Bulb Weighting'!$B$2:$C$17,MATCH($D90,'Bulb Weighting'!$B$3:$B$17,0)+1,2)</f>
        <v>0</v>
      </c>
      <c r="S90" s="193">
        <f>VLOOKUP($C90,$D$60:$Z$63,S$32,FALSE)*$D$79*$A90/8760/1000*INDEX('Bulb Weighting'!$B$2:$C$17,MATCH($D90,'Bulb Weighting'!$B$3:$B$17,0)+1,2)</f>
        <v>0</v>
      </c>
      <c r="T90" s="193">
        <f>VLOOKUP($C90,$D$60:$Z$63,T$32,FALSE)*$D$79*$A90/8760/1000*INDEX('Bulb Weighting'!$B$2:$C$17,MATCH($D90,'Bulb Weighting'!$B$3:$B$17,0)+1,2)</f>
        <v>0</v>
      </c>
      <c r="U90" s="193">
        <f>VLOOKUP($C90,$D$60:$Z$63,U$32,FALSE)*$D$79*$A90/8760/1000*INDEX('Bulb Weighting'!$B$2:$C$17,MATCH($D90,'Bulb Weighting'!$B$3:$B$17,0)+1,2)</f>
        <v>0</v>
      </c>
      <c r="V90" s="193">
        <f>VLOOKUP($C90,$D$60:$Z$63,V$32,FALSE)*$D$79*$A90/8760/1000*INDEX('Bulb Weighting'!$B$2:$C$17,MATCH($D90,'Bulb Weighting'!$B$3:$B$17,0)+1,2)</f>
        <v>0</v>
      </c>
      <c r="W90" s="193">
        <f>VLOOKUP($C90,$D$60:$Z$63,W$32,FALSE)*$D$79*$A90/8760/1000*INDEX('Bulb Weighting'!$B$2:$C$17,MATCH($D90,'Bulb Weighting'!$B$3:$B$17,0)+1,2)</f>
        <v>0</v>
      </c>
      <c r="X90" s="193">
        <f>VLOOKUP($C90,$D$60:$Z$63,X$32,FALSE)*$D$79*$A90/8760/1000*INDEX('Bulb Weighting'!$B$2:$C$17,MATCH($D90,'Bulb Weighting'!$B$3:$B$17,0)+1,2)</f>
        <v>0</v>
      </c>
      <c r="Y90" s="198">
        <f>(VLOOKUP($C90,$D$43:$Z$46,$X$68+3,FALSE)+VLOOKUP($C90,$D$51:$Z$54,$X$68+3,FALSE))*$A90*$D$79/8760/1000*INDEX('Bulb Weighting'!$B$2:$C$17,MATCH($D90,'Bulb Weighting'!$B$3:$B$17,0)+1,2)</f>
        <v>1.3791173760145772</v>
      </c>
      <c r="Z90" s="198"/>
      <c r="AA90" s="198">
        <f t="shared" ref="AA90:AA92" si="34">SUM(E90:X90)</f>
        <v>0.62779273302340588</v>
      </c>
      <c r="AB90" s="193"/>
      <c r="AC90" s="234"/>
    </row>
    <row r="91" spans="1:29" s="179" customFormat="1">
      <c r="A91" s="232">
        <f t="shared" si="29"/>
        <v>4.2972366607268073</v>
      </c>
      <c r="B91" s="233">
        <f t="shared" si="28"/>
        <v>-53.268788547414012</v>
      </c>
      <c r="C91" s="182" t="s">
        <v>788</v>
      </c>
      <c r="D91" t="s">
        <v>905</v>
      </c>
      <c r="E91" s="193">
        <f>VLOOKUP($C91,$D$60:$Z$63,E$32,FALSE)*$D$79*$A91/8760/1000*INDEX('Bulb Weighting'!$B$2:$C$17,MATCH($D91,'Bulb Weighting'!$B$3:$B$17,0)+1,2)</f>
        <v>0.68730322041836867</v>
      </c>
      <c r="F91" s="193">
        <f>VLOOKUP($C91,$D$60:$Z$63,F$32,FALSE)*$D$79*$A91/8760/1000*INDEX('Bulb Weighting'!$B$2:$C$17,MATCH($D91,'Bulb Weighting'!$B$3:$B$17,0)+1,2)</f>
        <v>0.54407229747845731</v>
      </c>
      <c r="G91" s="193">
        <f>VLOOKUP($C91,$D$60:$Z$63,G$32,FALSE)*$D$79*$A91/8760/1000*INDEX('Bulb Weighting'!$B$2:$C$17,MATCH($D91,'Bulb Weighting'!$B$3:$B$17,0)+1,2)</f>
        <v>0.40390900986407396</v>
      </c>
      <c r="H91" s="193">
        <f>VLOOKUP($C91,$D$60:$Z$63,H$32,FALSE)*$D$79*$A91/8760/1000*INDEX('Bulb Weighting'!$B$2:$C$17,MATCH($D91,'Bulb Weighting'!$B$3:$B$17,0)+1,2)</f>
        <v>0.2665476816968374</v>
      </c>
      <c r="I91" s="193">
        <f>VLOOKUP($C91,$D$60:$Z$63,I$32,FALSE)*$D$79*$A91/8760/1000*INDEX('Bulb Weighting'!$B$2:$C$17,MATCH($D91,'Bulb Weighting'!$B$3:$B$17,0)+1,2)</f>
        <v>0</v>
      </c>
      <c r="J91" s="193">
        <f>VLOOKUP($C91,$D$60:$Z$63,J$32,FALSE)*$D$79*$A91/8760/1000*INDEX('Bulb Weighting'!$B$2:$C$17,MATCH($D91,'Bulb Weighting'!$B$3:$B$17,0)+1,2)</f>
        <v>0</v>
      </c>
      <c r="K91" s="193">
        <f>VLOOKUP($C91,$D$60:$Z$63,K$32,FALSE)*$D$79*$A91/8760/1000*INDEX('Bulb Weighting'!$B$2:$C$17,MATCH($D91,'Bulb Weighting'!$B$3:$B$17,0)+1,2)</f>
        <v>0</v>
      </c>
      <c r="L91" s="193">
        <f>VLOOKUP($C91,$D$60:$Z$63,L$32,FALSE)*$D$79*$A91/8760/1000*INDEX('Bulb Weighting'!$B$2:$C$17,MATCH($D91,'Bulb Weighting'!$B$3:$B$17,0)+1,2)</f>
        <v>0</v>
      </c>
      <c r="M91" s="193">
        <f>VLOOKUP($C91,$D$60:$Z$63,M$32,FALSE)*$D$79*$A91/8760/1000*INDEX('Bulb Weighting'!$B$2:$C$17,MATCH($D91,'Bulb Weighting'!$B$3:$B$17,0)+1,2)</f>
        <v>0</v>
      </c>
      <c r="N91" s="193">
        <f>VLOOKUP($C91,$D$60:$Z$63,N$32,FALSE)*$D$79*$A91/8760/1000*INDEX('Bulb Weighting'!$B$2:$C$17,MATCH($D91,'Bulb Weighting'!$B$3:$B$17,0)+1,2)</f>
        <v>0</v>
      </c>
      <c r="O91" s="193">
        <f>VLOOKUP($C91,$D$60:$Z$63,O$32,FALSE)*$D$79*$A91/8760/1000*INDEX('Bulb Weighting'!$B$2:$C$17,MATCH($D91,'Bulb Weighting'!$B$3:$B$17,0)+1,2)</f>
        <v>0</v>
      </c>
      <c r="P91" s="193">
        <f>VLOOKUP($C91,$D$60:$Z$63,P$32,FALSE)*$D$79*$A91/8760/1000*INDEX('Bulb Weighting'!$B$2:$C$17,MATCH($D91,'Bulb Weighting'!$B$3:$B$17,0)+1,2)</f>
        <v>0</v>
      </c>
      <c r="Q91" s="193">
        <f>VLOOKUP($C91,$D$60:$Z$63,Q$32,FALSE)*$D$79*$A91/8760/1000*INDEX('Bulb Weighting'!$B$2:$C$17,MATCH($D91,'Bulb Weighting'!$B$3:$B$17,0)+1,2)</f>
        <v>0</v>
      </c>
      <c r="R91" s="193">
        <f>VLOOKUP($C91,$D$60:$Z$63,R$32,FALSE)*$D$79*$A91/8760/1000*INDEX('Bulb Weighting'!$B$2:$C$17,MATCH($D91,'Bulb Weighting'!$B$3:$B$17,0)+1,2)</f>
        <v>0</v>
      </c>
      <c r="S91" s="193">
        <f>VLOOKUP($C91,$D$60:$Z$63,S$32,FALSE)*$D$79*$A91/8760/1000*INDEX('Bulb Weighting'!$B$2:$C$17,MATCH($D91,'Bulb Weighting'!$B$3:$B$17,0)+1,2)</f>
        <v>0</v>
      </c>
      <c r="T91" s="193">
        <f>VLOOKUP($C91,$D$60:$Z$63,T$32,FALSE)*$D$79*$A91/8760/1000*INDEX('Bulb Weighting'!$B$2:$C$17,MATCH($D91,'Bulb Weighting'!$B$3:$B$17,0)+1,2)</f>
        <v>0</v>
      </c>
      <c r="U91" s="193">
        <f>VLOOKUP($C91,$D$60:$Z$63,U$32,FALSE)*$D$79*$A91/8760/1000*INDEX('Bulb Weighting'!$B$2:$C$17,MATCH($D91,'Bulb Weighting'!$B$3:$B$17,0)+1,2)</f>
        <v>0</v>
      </c>
      <c r="V91" s="193">
        <f>VLOOKUP($C91,$D$60:$Z$63,V$32,FALSE)*$D$79*$A91/8760/1000*INDEX('Bulb Weighting'!$B$2:$C$17,MATCH($D91,'Bulb Weighting'!$B$3:$B$17,0)+1,2)</f>
        <v>0</v>
      </c>
      <c r="W91" s="193">
        <f>VLOOKUP($C91,$D$60:$Z$63,W$32,FALSE)*$D$79*$A91/8760/1000*INDEX('Bulb Weighting'!$B$2:$C$17,MATCH($D91,'Bulb Weighting'!$B$3:$B$17,0)+1,2)</f>
        <v>0</v>
      </c>
      <c r="X91" s="193">
        <f>VLOOKUP($C91,$D$60:$Z$63,X$32,FALSE)*$D$79*$A91/8760/1000*INDEX('Bulb Weighting'!$B$2:$C$17,MATCH($D91,'Bulb Weighting'!$B$3:$B$17,0)+1,2)</f>
        <v>0</v>
      </c>
      <c r="Y91" s="198">
        <f>(VLOOKUP($C91,$D$43:$Z$46,$X$68+3,FALSE)+VLOOKUP($C91,$D$51:$Z$54,$X$68+3,FALSE))*$A91*$D$79/8760/1000*INDEX('Bulb Weighting'!$B$2:$C$17,MATCH($D91,'Bulb Weighting'!$B$3:$B$17,0)+1,2)</f>
        <v>4.1778913777735189</v>
      </c>
      <c r="Z91" s="198"/>
      <c r="AA91" s="198">
        <f t="shared" si="34"/>
        <v>1.9018322094577371</v>
      </c>
      <c r="AB91" s="193"/>
      <c r="AC91" s="234"/>
    </row>
    <row r="92" spans="1:29" s="179" customFormat="1">
      <c r="A92" s="232">
        <f t="shared" si="29"/>
        <v>-1.2124345256655047</v>
      </c>
      <c r="B92" s="233">
        <f t="shared" si="28"/>
        <v>9999</v>
      </c>
      <c r="C92" s="182" t="s">
        <v>788</v>
      </c>
      <c r="D92" t="s">
        <v>907</v>
      </c>
      <c r="E92" s="193">
        <f>VLOOKUP($C92,$D$60:$Z$63,E$32,FALSE)*$D$79*$A92/8760/1000*INDEX('Bulb Weighting'!$B$2:$C$17,MATCH($D92,'Bulb Weighting'!$B$3:$B$17,0)+1,2)</f>
        <v>-1.9333841099860652E-2</v>
      </c>
      <c r="F92" s="193">
        <f>VLOOKUP($C92,$D$60:$Z$63,F$32,FALSE)*$D$79*$A92/8760/1000*INDEX('Bulb Weighting'!$B$2:$C$17,MATCH($D92,'Bulb Weighting'!$B$3:$B$17,0)+1,2)</f>
        <v>-1.530475492298957E-2</v>
      </c>
      <c r="G92" s="193">
        <f>VLOOKUP($C92,$D$60:$Z$63,G$32,FALSE)*$D$79*$A92/8760/1000*INDEX('Bulb Weighting'!$B$2:$C$17,MATCH($D92,'Bulb Weighting'!$B$3:$B$17,0)+1,2)</f>
        <v>-1.1361961334562885E-2</v>
      </c>
      <c r="H92" s="193">
        <f>VLOOKUP($C92,$D$60:$Z$63,H$32,FALSE)*$D$79*$A92/8760/1000*INDEX('Bulb Weighting'!$B$2:$C$17,MATCH($D92,'Bulb Weighting'!$B$3:$B$17,0)+1,2)</f>
        <v>-7.4979868715382529E-3</v>
      </c>
      <c r="I92" s="193">
        <f>VLOOKUP($C92,$D$60:$Z$63,I$32,FALSE)*$D$79*$A92/8760/1000*INDEX('Bulb Weighting'!$B$2:$C$17,MATCH($D92,'Bulb Weighting'!$B$3:$B$17,0)+1,2)</f>
        <v>0</v>
      </c>
      <c r="J92" s="193">
        <f>VLOOKUP($C92,$D$60:$Z$63,J$32,FALSE)*$D$79*$A92/8760/1000*INDEX('Bulb Weighting'!$B$2:$C$17,MATCH($D92,'Bulb Weighting'!$B$3:$B$17,0)+1,2)</f>
        <v>0</v>
      </c>
      <c r="K92" s="193">
        <f>VLOOKUP($C92,$D$60:$Z$63,K$32,FALSE)*$D$79*$A92/8760/1000*INDEX('Bulb Weighting'!$B$2:$C$17,MATCH($D92,'Bulb Weighting'!$B$3:$B$17,0)+1,2)</f>
        <v>0</v>
      </c>
      <c r="L92" s="193">
        <f>VLOOKUP($C92,$D$60:$Z$63,L$32,FALSE)*$D$79*$A92/8760/1000*INDEX('Bulb Weighting'!$B$2:$C$17,MATCH($D92,'Bulb Weighting'!$B$3:$B$17,0)+1,2)</f>
        <v>0</v>
      </c>
      <c r="M92" s="193">
        <f>VLOOKUP($C92,$D$60:$Z$63,M$32,FALSE)*$D$79*$A92/8760/1000*INDEX('Bulb Weighting'!$B$2:$C$17,MATCH($D92,'Bulb Weighting'!$B$3:$B$17,0)+1,2)</f>
        <v>0</v>
      </c>
      <c r="N92" s="193">
        <f>VLOOKUP($C92,$D$60:$Z$63,N$32,FALSE)*$D$79*$A92/8760/1000*INDEX('Bulb Weighting'!$B$2:$C$17,MATCH($D92,'Bulb Weighting'!$B$3:$B$17,0)+1,2)</f>
        <v>0</v>
      </c>
      <c r="O92" s="193">
        <f>VLOOKUP($C92,$D$60:$Z$63,O$32,FALSE)*$D$79*$A92/8760/1000*INDEX('Bulb Weighting'!$B$2:$C$17,MATCH($D92,'Bulb Weighting'!$B$3:$B$17,0)+1,2)</f>
        <v>0</v>
      </c>
      <c r="P92" s="193">
        <f>VLOOKUP($C92,$D$60:$Z$63,P$32,FALSE)*$D$79*$A92/8760/1000*INDEX('Bulb Weighting'!$B$2:$C$17,MATCH($D92,'Bulb Weighting'!$B$3:$B$17,0)+1,2)</f>
        <v>0</v>
      </c>
      <c r="Q92" s="193">
        <f>VLOOKUP($C92,$D$60:$Z$63,Q$32,FALSE)*$D$79*$A92/8760/1000*INDEX('Bulb Weighting'!$B$2:$C$17,MATCH($D92,'Bulb Weighting'!$B$3:$B$17,0)+1,2)</f>
        <v>0</v>
      </c>
      <c r="R92" s="193">
        <f>VLOOKUP($C92,$D$60:$Z$63,R$32,FALSE)*$D$79*$A92/8760/1000*INDEX('Bulb Weighting'!$B$2:$C$17,MATCH($D92,'Bulb Weighting'!$B$3:$B$17,0)+1,2)</f>
        <v>0</v>
      </c>
      <c r="S92" s="193">
        <f>VLOOKUP($C92,$D$60:$Z$63,S$32,FALSE)*$D$79*$A92/8760/1000*INDEX('Bulb Weighting'!$B$2:$C$17,MATCH($D92,'Bulb Weighting'!$B$3:$B$17,0)+1,2)</f>
        <v>0</v>
      </c>
      <c r="T92" s="193">
        <f>VLOOKUP($C92,$D$60:$Z$63,T$32,FALSE)*$D$79*$A92/8760/1000*INDEX('Bulb Weighting'!$B$2:$C$17,MATCH($D92,'Bulb Weighting'!$B$3:$B$17,0)+1,2)</f>
        <v>0</v>
      </c>
      <c r="U92" s="193">
        <f>VLOOKUP($C92,$D$60:$Z$63,U$32,FALSE)*$D$79*$A92/8760/1000*INDEX('Bulb Weighting'!$B$2:$C$17,MATCH($D92,'Bulb Weighting'!$B$3:$B$17,0)+1,2)</f>
        <v>0</v>
      </c>
      <c r="V92" s="193">
        <f>VLOOKUP($C92,$D$60:$Z$63,V$32,FALSE)*$D$79*$A92/8760/1000*INDEX('Bulb Weighting'!$B$2:$C$17,MATCH($D92,'Bulb Weighting'!$B$3:$B$17,0)+1,2)</f>
        <v>0</v>
      </c>
      <c r="W92" s="193">
        <f>VLOOKUP($C92,$D$60:$Z$63,W$32,FALSE)*$D$79*$A92/8760/1000*INDEX('Bulb Weighting'!$B$2:$C$17,MATCH($D92,'Bulb Weighting'!$B$3:$B$17,0)+1,2)</f>
        <v>0</v>
      </c>
      <c r="X92" s="193">
        <f>VLOOKUP($C92,$D$60:$Z$63,X$32,FALSE)*$D$79*$A92/8760/1000*INDEX('Bulb Weighting'!$B$2:$C$17,MATCH($D92,'Bulb Weighting'!$B$3:$B$17,0)+1,2)</f>
        <v>0</v>
      </c>
      <c r="Y92" s="198">
        <f>(VLOOKUP($C92,$D$43:$Z$46,$X$68+3,FALSE)+VLOOKUP($C92,$D$51:$Z$54,$X$68+3,FALSE))*$A92*$D$79/8760/1000*INDEX('Bulb Weighting'!$B$2:$C$17,MATCH($D92,'Bulb Weighting'!$B$3:$B$17,0)+1,2)</f>
        <v>-0.11752409363247668</v>
      </c>
      <c r="Z92" s="198"/>
      <c r="AA92" s="198">
        <f t="shared" si="34"/>
        <v>-5.3498544228951367E-2</v>
      </c>
      <c r="AB92" s="193"/>
      <c r="AC92" s="234"/>
    </row>
    <row r="93" spans="1:29" s="179" customFormat="1">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row>
    <row r="94" spans="1:29" s="179" customFormat="1">
      <c r="A94" s="182"/>
      <c r="B94" s="235">
        <f>SUMPRODUCT(B81:B83,AA81:AA83)/SUM(AA81:AA83)</f>
        <v>-275.29009545393433</v>
      </c>
      <c r="C94" s="182"/>
      <c r="D94" s="234"/>
      <c r="E94" s="193">
        <f t="shared" ref="E94:Y94" si="35">SUM(E81:E92)</f>
        <v>14.792328134119147</v>
      </c>
      <c r="F94" s="193">
        <f t="shared" si="35"/>
        <v>11.775909723583501</v>
      </c>
      <c r="G94" s="193">
        <f t="shared" si="35"/>
        <v>8.7860119919853563</v>
      </c>
      <c r="H94" s="193">
        <f t="shared" si="35"/>
        <v>5.8317210111949622</v>
      </c>
      <c r="I94" s="193">
        <f t="shared" si="35"/>
        <v>0</v>
      </c>
      <c r="J94" s="193">
        <f t="shared" si="35"/>
        <v>0</v>
      </c>
      <c r="K94" s="193">
        <f t="shared" si="35"/>
        <v>0</v>
      </c>
      <c r="L94" s="193">
        <f t="shared" si="35"/>
        <v>0</v>
      </c>
      <c r="M94" s="193">
        <f t="shared" si="35"/>
        <v>0</v>
      </c>
      <c r="N94" s="193">
        <f t="shared" si="35"/>
        <v>0</v>
      </c>
      <c r="O94" s="193">
        <f t="shared" si="35"/>
        <v>0</v>
      </c>
      <c r="P94" s="193">
        <f t="shared" si="35"/>
        <v>0</v>
      </c>
      <c r="Q94" s="193">
        <f t="shared" si="35"/>
        <v>0</v>
      </c>
      <c r="R94" s="193">
        <f t="shared" si="35"/>
        <v>0</v>
      </c>
      <c r="S94" s="193">
        <f t="shared" si="35"/>
        <v>0</v>
      </c>
      <c r="T94" s="193">
        <f t="shared" si="35"/>
        <v>0</v>
      </c>
      <c r="U94" s="193">
        <f t="shared" si="35"/>
        <v>0</v>
      </c>
      <c r="V94" s="193">
        <f t="shared" si="35"/>
        <v>0</v>
      </c>
      <c r="W94" s="193">
        <f t="shared" si="35"/>
        <v>0</v>
      </c>
      <c r="X94" s="193">
        <f t="shared" si="35"/>
        <v>0</v>
      </c>
      <c r="Y94" s="193">
        <f t="shared" si="35"/>
        <v>88.787976309081984</v>
      </c>
      <c r="Z94" s="195"/>
      <c r="AA94" s="182"/>
      <c r="AB94" s="195"/>
      <c r="AC94" s="193"/>
    </row>
    <row r="95" spans="1:29" s="179" customFormat="1">
      <c r="A95" s="182"/>
      <c r="B95" s="182"/>
      <c r="C95" s="182"/>
      <c r="D95" s="182"/>
      <c r="E95" s="193">
        <f>E94</f>
        <v>14.792328134119147</v>
      </c>
      <c r="F95" s="193">
        <f>F94+E95</f>
        <v>26.568237857702648</v>
      </c>
      <c r="G95" s="193">
        <f t="shared" ref="G95:X95" si="36">G94+F95</f>
        <v>35.354249849688003</v>
      </c>
      <c r="H95" s="193">
        <f t="shared" si="36"/>
        <v>41.185970860882968</v>
      </c>
      <c r="I95" s="193">
        <f t="shared" si="36"/>
        <v>41.185970860882968</v>
      </c>
      <c r="J95" s="193">
        <f t="shared" si="36"/>
        <v>41.185970860882968</v>
      </c>
      <c r="K95" s="193">
        <f t="shared" si="36"/>
        <v>41.185970860882968</v>
      </c>
      <c r="L95" s="193">
        <f t="shared" si="36"/>
        <v>41.185970860882968</v>
      </c>
      <c r="M95" s="193">
        <f t="shared" si="36"/>
        <v>41.185970860882968</v>
      </c>
      <c r="N95" s="193">
        <f t="shared" si="36"/>
        <v>41.185970860882968</v>
      </c>
      <c r="O95" s="193">
        <f t="shared" si="36"/>
        <v>41.185970860882968</v>
      </c>
      <c r="P95" s="193">
        <f t="shared" si="36"/>
        <v>41.185970860882968</v>
      </c>
      <c r="Q95" s="193">
        <f t="shared" si="36"/>
        <v>41.185970860882968</v>
      </c>
      <c r="R95" s="193">
        <f t="shared" si="36"/>
        <v>41.185970860882968</v>
      </c>
      <c r="S95" s="193">
        <f t="shared" si="36"/>
        <v>41.185970860882968</v>
      </c>
      <c r="T95" s="193">
        <f t="shared" si="36"/>
        <v>41.185970860882968</v>
      </c>
      <c r="U95" s="193">
        <f t="shared" si="36"/>
        <v>41.185970860882968</v>
      </c>
      <c r="V95" s="193">
        <f t="shared" si="36"/>
        <v>41.185970860882968</v>
      </c>
      <c r="W95" s="193">
        <f t="shared" si="36"/>
        <v>41.185970860882968</v>
      </c>
      <c r="X95" s="193">
        <f t="shared" si="36"/>
        <v>41.185970860882968</v>
      </c>
      <c r="Y95" s="182"/>
      <c r="Z95" s="182"/>
      <c r="AA95" s="182"/>
      <c r="AB95" s="182"/>
      <c r="AC95" s="182"/>
    </row>
    <row r="96" spans="1:29" s="179" customFormat="1">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row>
    <row r="97" spans="1:29" s="179" customFormat="1" ht="15">
      <c r="A97" s="211" t="s">
        <v>809</v>
      </c>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row>
    <row r="98" spans="1:29" s="179" customFormat="1" ht="15">
      <c r="A98" s="182"/>
      <c r="B98" s="182"/>
      <c r="C98" s="182"/>
      <c r="D98" s="182"/>
      <c r="E98" s="212">
        <f t="shared" ref="E98:X98" si="37">E11</f>
        <v>2016</v>
      </c>
      <c r="F98" s="213">
        <f t="shared" si="37"/>
        <v>2017</v>
      </c>
      <c r="G98" s="213">
        <f t="shared" si="37"/>
        <v>2018</v>
      </c>
      <c r="H98" s="213">
        <f t="shared" si="37"/>
        <v>2019</v>
      </c>
      <c r="I98" s="213">
        <f t="shared" si="37"/>
        <v>2020</v>
      </c>
      <c r="J98" s="213">
        <f t="shared" si="37"/>
        <v>2021</v>
      </c>
      <c r="K98" s="213">
        <f t="shared" si="37"/>
        <v>2022</v>
      </c>
      <c r="L98" s="213">
        <f t="shared" si="37"/>
        <v>2023</v>
      </c>
      <c r="M98" s="213">
        <f t="shared" si="37"/>
        <v>2024</v>
      </c>
      <c r="N98" s="213">
        <f t="shared" si="37"/>
        <v>2025</v>
      </c>
      <c r="O98" s="213">
        <f t="shared" si="37"/>
        <v>2026</v>
      </c>
      <c r="P98" s="213">
        <f t="shared" si="37"/>
        <v>2027</v>
      </c>
      <c r="Q98" s="213">
        <f t="shared" si="37"/>
        <v>2028</v>
      </c>
      <c r="R98" s="213">
        <f t="shared" si="37"/>
        <v>2029</v>
      </c>
      <c r="S98" s="213">
        <f t="shared" si="37"/>
        <v>2030</v>
      </c>
      <c r="T98" s="213">
        <f t="shared" si="37"/>
        <v>2031</v>
      </c>
      <c r="U98" s="213">
        <f t="shared" si="37"/>
        <v>2032</v>
      </c>
      <c r="V98" s="213">
        <f t="shared" si="37"/>
        <v>2033</v>
      </c>
      <c r="W98" s="213">
        <f t="shared" si="37"/>
        <v>2034</v>
      </c>
      <c r="X98" s="213">
        <f t="shared" si="37"/>
        <v>2035</v>
      </c>
      <c r="Y98" s="214" t="s">
        <v>795</v>
      </c>
      <c r="Z98" s="182"/>
      <c r="AA98" s="182"/>
      <c r="AB98" s="182"/>
      <c r="AC98" s="182"/>
    </row>
    <row r="99" spans="1:29" s="179" customFormat="1" ht="15">
      <c r="A99" s="182"/>
      <c r="B99" s="182"/>
      <c r="C99" s="236" t="s">
        <v>806</v>
      </c>
      <c r="D99" s="236" t="s">
        <v>806</v>
      </c>
      <c r="E99" s="215" t="str">
        <f t="shared" ref="E99:X99" si="38">CONCATENATE("Units_",E$11)</f>
        <v>Units_2016</v>
      </c>
      <c r="F99" s="216" t="str">
        <f t="shared" si="38"/>
        <v>Units_2017</v>
      </c>
      <c r="G99" s="216" t="str">
        <f t="shared" si="38"/>
        <v>Units_2018</v>
      </c>
      <c r="H99" s="216" t="str">
        <f t="shared" si="38"/>
        <v>Units_2019</v>
      </c>
      <c r="I99" s="216" t="str">
        <f t="shared" si="38"/>
        <v>Units_2020</v>
      </c>
      <c r="J99" s="216" t="str">
        <f t="shared" si="38"/>
        <v>Units_2021</v>
      </c>
      <c r="K99" s="216" t="str">
        <f t="shared" si="38"/>
        <v>Units_2022</v>
      </c>
      <c r="L99" s="216" t="str">
        <f t="shared" si="38"/>
        <v>Units_2023</v>
      </c>
      <c r="M99" s="216" t="str">
        <f t="shared" si="38"/>
        <v>Units_2024</v>
      </c>
      <c r="N99" s="216" t="str">
        <f t="shared" si="38"/>
        <v>Units_2025</v>
      </c>
      <c r="O99" s="216" t="str">
        <f t="shared" si="38"/>
        <v>Units_2026</v>
      </c>
      <c r="P99" s="216" t="str">
        <f t="shared" si="38"/>
        <v>Units_2027</v>
      </c>
      <c r="Q99" s="216" t="str">
        <f t="shared" si="38"/>
        <v>Units_2028</v>
      </c>
      <c r="R99" s="216" t="str">
        <f t="shared" si="38"/>
        <v>Units_2029</v>
      </c>
      <c r="S99" s="216" t="str">
        <f t="shared" si="38"/>
        <v>Units_2030</v>
      </c>
      <c r="T99" s="216" t="str">
        <f t="shared" si="38"/>
        <v>Units_2031</v>
      </c>
      <c r="U99" s="216" t="str">
        <f t="shared" si="38"/>
        <v>Units_2032</v>
      </c>
      <c r="V99" s="216" t="str">
        <f t="shared" si="38"/>
        <v>Units_2033</v>
      </c>
      <c r="W99" s="216" t="str">
        <f t="shared" si="38"/>
        <v>Units_2034</v>
      </c>
      <c r="X99" s="216" t="str">
        <f t="shared" si="38"/>
        <v>Units_2035</v>
      </c>
      <c r="Y99" s="217" t="s">
        <v>795</v>
      </c>
      <c r="Z99" s="182"/>
      <c r="AA99" s="182"/>
      <c r="AB99" s="182"/>
      <c r="AC99" s="182"/>
    </row>
    <row r="100" spans="1:29" s="179" customFormat="1">
      <c r="A100" s="182"/>
      <c r="B100" s="182" t="s">
        <v>715</v>
      </c>
      <c r="C100" s="237" t="s">
        <v>810</v>
      </c>
      <c r="D100" s="237" t="s">
        <v>811</v>
      </c>
      <c r="E100" s="193">
        <f>DSUM($B$80:$Y$92,E$80,$C$99:$D100)</f>
        <v>15.111927336119066</v>
      </c>
      <c r="F100" s="193">
        <f>DSUM($B$80:$Y$92,F$80,$C$99:$D100)</f>
        <v>12.030336972381447</v>
      </c>
      <c r="G100" s="193">
        <f>DSUM($B$80:$Y$92,G$80,$C$99:$D100)</f>
        <v>8.9758402864864397</v>
      </c>
      <c r="H100" s="193">
        <f>DSUM($B$80:$Y$92,H$80,$C$99:$D100)</f>
        <v>5.9577196616146422</v>
      </c>
      <c r="I100" s="193">
        <f>DSUM($B$80:$Y$92,I$80,$C$99:$D100)</f>
        <v>0</v>
      </c>
      <c r="J100" s="193">
        <f>DSUM($B$80:$Y$92,J$80,$C$99:$D100)</f>
        <v>0</v>
      </c>
      <c r="K100" s="193">
        <f>DSUM($B$80:$Y$92,K$80,$C$99:$D100)</f>
        <v>0</v>
      </c>
      <c r="L100" s="193">
        <f>DSUM($B$80:$Y$92,L$80,$C$99:$D100)</f>
        <v>0</v>
      </c>
      <c r="M100" s="193">
        <f>DSUM($B$80:$Y$92,M$80,$C$99:$D100)</f>
        <v>0</v>
      </c>
      <c r="N100" s="193">
        <f>DSUM($B$80:$Y$92,N$80,$C$99:$D100)</f>
        <v>0</v>
      </c>
      <c r="O100" s="193">
        <f>DSUM($B$80:$Y$92,O$80,$C$99:$D100)</f>
        <v>0</v>
      </c>
      <c r="P100" s="193">
        <f>DSUM($B$80:$Y$92,P$80,$C$99:$D100)</f>
        <v>0</v>
      </c>
      <c r="Q100" s="193">
        <f>DSUM($B$80:$Y$92,Q$80,$C$99:$D100)</f>
        <v>0</v>
      </c>
      <c r="R100" s="193">
        <f>DSUM($B$80:$Y$92,R$80,$C$99:$D100)</f>
        <v>0</v>
      </c>
      <c r="S100" s="193">
        <f>DSUM($B$80:$Y$92,S$80,$C$99:$D100)</f>
        <v>0</v>
      </c>
      <c r="T100" s="193">
        <f>DSUM($B$80:$Y$92,T$80,$C$99:$D100)</f>
        <v>0</v>
      </c>
      <c r="U100" s="193">
        <f>DSUM($B$80:$Y$92,U$80,$C$99:$D100)</f>
        <v>0</v>
      </c>
      <c r="V100" s="193">
        <f>DSUM($B$80:$Y$92,V$80,$C$99:$D100)</f>
        <v>0</v>
      </c>
      <c r="W100" s="193">
        <f>DSUM($B$80:$Y$92,W$80,$C$99:$D100)</f>
        <v>0</v>
      </c>
      <c r="X100" s="193">
        <f>DSUM($B$80:$Y$92,X$80,$C$99:$D100)</f>
        <v>0</v>
      </c>
      <c r="Y100" s="193">
        <f>DSUM($B$80:$Y$92,Y$80,$C$99:$D100)</f>
        <v>90.706306278393498</v>
      </c>
      <c r="Z100" s="182"/>
      <c r="AA100" s="182"/>
      <c r="AB100" s="182"/>
      <c r="AC100" s="182"/>
    </row>
    <row r="101" spans="1:29" s="179" customFormat="1">
      <c r="A101" s="182"/>
      <c r="B101" s="182" t="s">
        <v>716</v>
      </c>
      <c r="C101" s="237" t="s">
        <v>812</v>
      </c>
      <c r="D101" s="237" t="s">
        <v>813</v>
      </c>
      <c r="E101" s="193">
        <f>DSUM($B$80:$Y$92,E$80,$C$99:$D101)</f>
        <v>15.111927336119066</v>
      </c>
      <c r="F101" s="193">
        <f>DSUM($B$80:$Y$92,F$80,$C$99:$D101)</f>
        <v>12.030336972381447</v>
      </c>
      <c r="G101" s="193">
        <f>DSUM($B$80:$Y$92,G$80,$C$99:$D101)</f>
        <v>8.9758402864864397</v>
      </c>
      <c r="H101" s="193">
        <f>DSUM($B$80:$Y$92,H$80,$C$99:$D101)</f>
        <v>5.9577196616146422</v>
      </c>
      <c r="I101" s="193">
        <f>DSUM($B$80:$Y$92,I$80,$C$99:$D101)</f>
        <v>0</v>
      </c>
      <c r="J101" s="193">
        <f>DSUM($B$80:$Y$92,J$80,$C$99:$D101)</f>
        <v>0</v>
      </c>
      <c r="K101" s="193">
        <f>DSUM($B$80:$Y$92,K$80,$C$99:$D101)</f>
        <v>0</v>
      </c>
      <c r="L101" s="193">
        <f>DSUM($B$80:$Y$92,L$80,$C$99:$D101)</f>
        <v>0</v>
      </c>
      <c r="M101" s="193">
        <f>DSUM($B$80:$Y$92,M$80,$C$99:$D101)</f>
        <v>0</v>
      </c>
      <c r="N101" s="193">
        <f>DSUM($B$80:$Y$92,N$80,$C$99:$D101)</f>
        <v>0</v>
      </c>
      <c r="O101" s="193">
        <f>DSUM($B$80:$Y$92,O$80,$C$99:$D101)</f>
        <v>0</v>
      </c>
      <c r="P101" s="193">
        <f>DSUM($B$80:$Y$92,P$80,$C$99:$D101)</f>
        <v>0</v>
      </c>
      <c r="Q101" s="193">
        <f>DSUM($B$80:$Y$92,Q$80,$C$99:$D101)</f>
        <v>0</v>
      </c>
      <c r="R101" s="193">
        <f>DSUM($B$80:$Y$92,R$80,$C$99:$D101)</f>
        <v>0</v>
      </c>
      <c r="S101" s="193">
        <f>DSUM($B$80:$Y$92,S$80,$C$99:$D101)</f>
        <v>0</v>
      </c>
      <c r="T101" s="193">
        <f>DSUM($B$80:$Y$92,T$80,$C$99:$D101)</f>
        <v>0</v>
      </c>
      <c r="U101" s="193">
        <f>DSUM($B$80:$Y$92,U$80,$C$99:$D101)</f>
        <v>0</v>
      </c>
      <c r="V101" s="193">
        <f>DSUM($B$80:$Y$92,V$80,$C$99:$D101)</f>
        <v>0</v>
      </c>
      <c r="W101" s="193">
        <f>DSUM($B$80:$Y$92,W$80,$C$99:$D101)</f>
        <v>0</v>
      </c>
      <c r="X101" s="193">
        <f>DSUM($B$80:$Y$92,X$80,$C$99:$D101)</f>
        <v>0</v>
      </c>
      <c r="Y101" s="193">
        <f>DSUM($B$80:$Y$92,Y$80,$C$99:$D101)</f>
        <v>90.706306278393498</v>
      </c>
      <c r="Z101" s="182"/>
      <c r="AA101" s="182"/>
      <c r="AB101" s="182"/>
      <c r="AC101" s="182"/>
    </row>
    <row r="102" spans="1:29" s="179" customFormat="1">
      <c r="A102" s="182"/>
      <c r="B102" s="182" t="s">
        <v>717</v>
      </c>
      <c r="C102" s="237" t="s">
        <v>814</v>
      </c>
      <c r="D102" s="237" t="s">
        <v>815</v>
      </c>
      <c r="E102" s="193">
        <f>DSUM($B$80:$Y$92,E$80,$C$99:$D102)</f>
        <v>15.111927336119066</v>
      </c>
      <c r="F102" s="193">
        <f>DSUM($B$80:$Y$92,F$80,$C$99:$D102)</f>
        <v>12.030336972381447</v>
      </c>
      <c r="G102" s="193">
        <f>DSUM($B$80:$Y$92,G$80,$C$99:$D102)</f>
        <v>8.9758402864864397</v>
      </c>
      <c r="H102" s="193">
        <f>DSUM($B$80:$Y$92,H$80,$C$99:$D102)</f>
        <v>5.9577196616146422</v>
      </c>
      <c r="I102" s="193">
        <f>DSUM($B$80:$Y$92,I$80,$C$99:$D102)</f>
        <v>0</v>
      </c>
      <c r="J102" s="193">
        <f>DSUM($B$80:$Y$92,J$80,$C$99:$D102)</f>
        <v>0</v>
      </c>
      <c r="K102" s="193">
        <f>DSUM($B$80:$Y$92,K$80,$C$99:$D102)</f>
        <v>0</v>
      </c>
      <c r="L102" s="193">
        <f>DSUM($B$80:$Y$92,L$80,$C$99:$D102)</f>
        <v>0</v>
      </c>
      <c r="M102" s="193">
        <f>DSUM($B$80:$Y$92,M$80,$C$99:$D102)</f>
        <v>0</v>
      </c>
      <c r="N102" s="193">
        <f>DSUM($B$80:$Y$92,N$80,$C$99:$D102)</f>
        <v>0</v>
      </c>
      <c r="O102" s="193">
        <f>DSUM($B$80:$Y$92,O$80,$C$99:$D102)</f>
        <v>0</v>
      </c>
      <c r="P102" s="193">
        <f>DSUM($B$80:$Y$92,P$80,$C$99:$D102)</f>
        <v>0</v>
      </c>
      <c r="Q102" s="193">
        <f>DSUM($B$80:$Y$92,Q$80,$C$99:$D102)</f>
        <v>0</v>
      </c>
      <c r="R102" s="193">
        <f>DSUM($B$80:$Y$92,R$80,$C$99:$D102)</f>
        <v>0</v>
      </c>
      <c r="S102" s="193">
        <f>DSUM($B$80:$Y$92,S$80,$C$99:$D102)</f>
        <v>0</v>
      </c>
      <c r="T102" s="193">
        <f>DSUM($B$80:$Y$92,T$80,$C$99:$D102)</f>
        <v>0</v>
      </c>
      <c r="U102" s="193">
        <f>DSUM($B$80:$Y$92,U$80,$C$99:$D102)</f>
        <v>0</v>
      </c>
      <c r="V102" s="193">
        <f>DSUM($B$80:$Y$92,V$80,$C$99:$D102)</f>
        <v>0</v>
      </c>
      <c r="W102" s="193">
        <f>DSUM($B$80:$Y$92,W$80,$C$99:$D102)</f>
        <v>0</v>
      </c>
      <c r="X102" s="193">
        <f>DSUM($B$80:$Y$92,X$80,$C$99:$D102)</f>
        <v>0</v>
      </c>
      <c r="Y102" s="193">
        <f>DSUM($B$80:$Y$92,Y$80,$C$99:$D102)</f>
        <v>90.706306278393498</v>
      </c>
      <c r="Z102" s="182"/>
      <c r="AA102" s="182"/>
      <c r="AB102" s="182"/>
      <c r="AC102" s="182"/>
    </row>
    <row r="103" spans="1:29" s="179" customFormat="1">
      <c r="A103" s="182"/>
      <c r="B103" s="182" t="s">
        <v>718</v>
      </c>
      <c r="C103" s="237" t="s">
        <v>816</v>
      </c>
      <c r="D103" s="237" t="s">
        <v>817</v>
      </c>
      <c r="E103" s="193">
        <f>DSUM($B$80:$Y$92,E$80,$C$99:$D103)</f>
        <v>15.111927336119066</v>
      </c>
      <c r="F103" s="193">
        <f>DSUM($B$80:$Y$92,F$80,$C$99:$D103)</f>
        <v>12.030336972381447</v>
      </c>
      <c r="G103" s="193">
        <f>DSUM($B$80:$Y$92,G$80,$C$99:$D103)</f>
        <v>8.9758402864864397</v>
      </c>
      <c r="H103" s="193">
        <f>DSUM($B$80:$Y$92,H$80,$C$99:$D103)</f>
        <v>5.9577196616146422</v>
      </c>
      <c r="I103" s="193">
        <f>DSUM($B$80:$Y$92,I$80,$C$99:$D103)</f>
        <v>0</v>
      </c>
      <c r="J103" s="193">
        <f>DSUM($B$80:$Y$92,J$80,$C$99:$D103)</f>
        <v>0</v>
      </c>
      <c r="K103" s="193">
        <f>DSUM($B$80:$Y$92,K$80,$C$99:$D103)</f>
        <v>0</v>
      </c>
      <c r="L103" s="193">
        <f>DSUM($B$80:$Y$92,L$80,$C$99:$D103)</f>
        <v>0</v>
      </c>
      <c r="M103" s="193">
        <f>DSUM($B$80:$Y$92,M$80,$C$99:$D103)</f>
        <v>0</v>
      </c>
      <c r="N103" s="193">
        <f>DSUM($B$80:$Y$92,N$80,$C$99:$D103)</f>
        <v>0</v>
      </c>
      <c r="O103" s="193">
        <f>DSUM($B$80:$Y$92,O$80,$C$99:$D103)</f>
        <v>0</v>
      </c>
      <c r="P103" s="193">
        <f>DSUM($B$80:$Y$92,P$80,$C$99:$D103)</f>
        <v>0</v>
      </c>
      <c r="Q103" s="193">
        <f>DSUM($B$80:$Y$92,Q$80,$C$99:$D103)</f>
        <v>0</v>
      </c>
      <c r="R103" s="193">
        <f>DSUM($B$80:$Y$92,R$80,$C$99:$D103)</f>
        <v>0</v>
      </c>
      <c r="S103" s="193">
        <f>DSUM($B$80:$Y$92,S$80,$C$99:$D103)</f>
        <v>0</v>
      </c>
      <c r="T103" s="193">
        <f>DSUM($B$80:$Y$92,T$80,$C$99:$D103)</f>
        <v>0</v>
      </c>
      <c r="U103" s="193">
        <f>DSUM($B$80:$Y$92,U$80,$C$99:$D103)</f>
        <v>0</v>
      </c>
      <c r="V103" s="193">
        <f>DSUM($B$80:$Y$92,V$80,$C$99:$D103)</f>
        <v>0</v>
      </c>
      <c r="W103" s="193">
        <f>DSUM($B$80:$Y$92,W$80,$C$99:$D103)</f>
        <v>0</v>
      </c>
      <c r="X103" s="193">
        <f>DSUM($B$80:$Y$92,X$80,$C$99:$D103)</f>
        <v>0</v>
      </c>
      <c r="Y103" s="193">
        <f>DSUM($B$80:$Y$92,Y$80,$C$99:$D103)</f>
        <v>90.706306278393498</v>
      </c>
      <c r="Z103" s="182"/>
      <c r="AA103" s="182"/>
      <c r="AB103" s="182"/>
      <c r="AC103" s="182"/>
    </row>
    <row r="104" spans="1:29" s="179" customFormat="1">
      <c r="A104" s="182"/>
      <c r="B104" s="182" t="s">
        <v>719</v>
      </c>
      <c r="C104" s="237" t="s">
        <v>818</v>
      </c>
      <c r="D104" s="237" t="s">
        <v>819</v>
      </c>
      <c r="E104" s="193">
        <f>DSUM($B$80:$Y$92,E$80,$C$99:$D104)</f>
        <v>15.111927336119066</v>
      </c>
      <c r="F104" s="193">
        <f>DSUM($B$80:$Y$92,F$80,$C$99:$D104)</f>
        <v>12.030336972381447</v>
      </c>
      <c r="G104" s="193">
        <f>DSUM($B$80:$Y$92,G$80,$C$99:$D104)</f>
        <v>8.9758402864864397</v>
      </c>
      <c r="H104" s="193">
        <f>DSUM($B$80:$Y$92,H$80,$C$99:$D104)</f>
        <v>5.9577196616146422</v>
      </c>
      <c r="I104" s="193">
        <f>DSUM($B$80:$Y$92,I$80,$C$99:$D104)</f>
        <v>0</v>
      </c>
      <c r="J104" s="193">
        <f>DSUM($B$80:$Y$92,J$80,$C$99:$D104)</f>
        <v>0</v>
      </c>
      <c r="K104" s="193">
        <f>DSUM($B$80:$Y$92,K$80,$C$99:$D104)</f>
        <v>0</v>
      </c>
      <c r="L104" s="193">
        <f>DSUM($B$80:$Y$92,L$80,$C$99:$D104)</f>
        <v>0</v>
      </c>
      <c r="M104" s="193">
        <f>DSUM($B$80:$Y$92,M$80,$C$99:$D104)</f>
        <v>0</v>
      </c>
      <c r="N104" s="193">
        <f>DSUM($B$80:$Y$92,N$80,$C$99:$D104)</f>
        <v>0</v>
      </c>
      <c r="O104" s="193">
        <f>DSUM($B$80:$Y$92,O$80,$C$99:$D104)</f>
        <v>0</v>
      </c>
      <c r="P104" s="193">
        <f>DSUM($B$80:$Y$92,P$80,$C$99:$D104)</f>
        <v>0</v>
      </c>
      <c r="Q104" s="193">
        <f>DSUM($B$80:$Y$92,Q$80,$C$99:$D104)</f>
        <v>0</v>
      </c>
      <c r="R104" s="193">
        <f>DSUM($B$80:$Y$92,R$80,$C$99:$D104)</f>
        <v>0</v>
      </c>
      <c r="S104" s="193">
        <f>DSUM($B$80:$Y$92,S$80,$C$99:$D104)</f>
        <v>0</v>
      </c>
      <c r="T104" s="193">
        <f>DSUM($B$80:$Y$92,T$80,$C$99:$D104)</f>
        <v>0</v>
      </c>
      <c r="U104" s="193">
        <f>DSUM($B$80:$Y$92,U$80,$C$99:$D104)</f>
        <v>0</v>
      </c>
      <c r="V104" s="193">
        <f>DSUM($B$80:$Y$92,V$80,$C$99:$D104)</f>
        <v>0</v>
      </c>
      <c r="W104" s="193">
        <f>DSUM($B$80:$Y$92,W$80,$C$99:$D104)</f>
        <v>0</v>
      </c>
      <c r="X104" s="193">
        <f>DSUM($B$80:$Y$92,X$80,$C$99:$D104)</f>
        <v>0</v>
      </c>
      <c r="Y104" s="193">
        <f>DSUM($B$80:$Y$92,Y$80,$C$99:$D104)</f>
        <v>90.706306278393498</v>
      </c>
      <c r="Z104" s="182"/>
      <c r="AA104" s="182"/>
      <c r="AB104" s="182"/>
      <c r="AC104" s="182"/>
    </row>
    <row r="105" spans="1:29" s="179" customFormat="1">
      <c r="A105" s="182"/>
      <c r="B105" s="182" t="s">
        <v>720</v>
      </c>
      <c r="C105" s="237" t="s">
        <v>820</v>
      </c>
      <c r="D105" s="237" t="s">
        <v>821</v>
      </c>
      <c r="E105" s="193">
        <f>DSUM($B$80:$Y$92,E$80,$C$99:$D105)</f>
        <v>15.111927336119066</v>
      </c>
      <c r="F105" s="193">
        <f>DSUM($B$80:$Y$92,F$80,$C$99:$D105)</f>
        <v>12.030336972381447</v>
      </c>
      <c r="G105" s="193">
        <f>DSUM($B$80:$Y$92,G$80,$C$99:$D105)</f>
        <v>8.9758402864864397</v>
      </c>
      <c r="H105" s="193">
        <f>DSUM($B$80:$Y$92,H$80,$C$99:$D105)</f>
        <v>5.9577196616146422</v>
      </c>
      <c r="I105" s="193">
        <f>DSUM($B$80:$Y$92,I$80,$C$99:$D105)</f>
        <v>0</v>
      </c>
      <c r="J105" s="193">
        <f>DSUM($B$80:$Y$92,J$80,$C$99:$D105)</f>
        <v>0</v>
      </c>
      <c r="K105" s="193">
        <f>DSUM($B$80:$Y$92,K$80,$C$99:$D105)</f>
        <v>0</v>
      </c>
      <c r="L105" s="193">
        <f>DSUM($B$80:$Y$92,L$80,$C$99:$D105)</f>
        <v>0</v>
      </c>
      <c r="M105" s="193">
        <f>DSUM($B$80:$Y$92,M$80,$C$99:$D105)</f>
        <v>0</v>
      </c>
      <c r="N105" s="193">
        <f>DSUM($B$80:$Y$92,N$80,$C$99:$D105)</f>
        <v>0</v>
      </c>
      <c r="O105" s="193">
        <f>DSUM($B$80:$Y$92,O$80,$C$99:$D105)</f>
        <v>0</v>
      </c>
      <c r="P105" s="193">
        <f>DSUM($B$80:$Y$92,P$80,$C$99:$D105)</f>
        <v>0</v>
      </c>
      <c r="Q105" s="193">
        <f>DSUM($B$80:$Y$92,Q$80,$C$99:$D105)</f>
        <v>0</v>
      </c>
      <c r="R105" s="193">
        <f>DSUM($B$80:$Y$92,R$80,$C$99:$D105)</f>
        <v>0</v>
      </c>
      <c r="S105" s="193">
        <f>DSUM($B$80:$Y$92,S$80,$C$99:$D105)</f>
        <v>0</v>
      </c>
      <c r="T105" s="193">
        <f>DSUM($B$80:$Y$92,T$80,$C$99:$D105)</f>
        <v>0</v>
      </c>
      <c r="U105" s="193">
        <f>DSUM($B$80:$Y$92,U$80,$C$99:$D105)</f>
        <v>0</v>
      </c>
      <c r="V105" s="193">
        <f>DSUM($B$80:$Y$92,V$80,$C$99:$D105)</f>
        <v>0</v>
      </c>
      <c r="W105" s="193">
        <f>DSUM($B$80:$Y$92,W$80,$C$99:$D105)</f>
        <v>0</v>
      </c>
      <c r="X105" s="193">
        <f>DSUM($B$80:$Y$92,X$80,$C$99:$D105)</f>
        <v>0</v>
      </c>
      <c r="Y105" s="193">
        <f>DSUM($B$80:$Y$92,Y$80,$C$99:$D105)</f>
        <v>90.706306278393498</v>
      </c>
      <c r="Z105" s="182"/>
      <c r="AA105" s="182"/>
      <c r="AB105" s="182"/>
      <c r="AC105" s="182"/>
    </row>
    <row r="106" spans="1:29" s="179" customFormat="1">
      <c r="A106" s="182"/>
      <c r="B106" s="182" t="s">
        <v>721</v>
      </c>
      <c r="C106" s="237" t="s">
        <v>822</v>
      </c>
      <c r="D106" s="237" t="s">
        <v>823</v>
      </c>
      <c r="E106" s="193">
        <f>DSUM($B$80:$Y$92,E$80,$C$99:$D106)</f>
        <v>15.111927336119066</v>
      </c>
      <c r="F106" s="193">
        <f>DSUM($B$80:$Y$92,F$80,$C$99:$D106)</f>
        <v>12.030336972381447</v>
      </c>
      <c r="G106" s="193">
        <f>DSUM($B$80:$Y$92,G$80,$C$99:$D106)</f>
        <v>8.9758402864864397</v>
      </c>
      <c r="H106" s="193">
        <f>DSUM($B$80:$Y$92,H$80,$C$99:$D106)</f>
        <v>5.9577196616146422</v>
      </c>
      <c r="I106" s="193">
        <f>DSUM($B$80:$Y$92,I$80,$C$99:$D106)</f>
        <v>0</v>
      </c>
      <c r="J106" s="193">
        <f>DSUM($B$80:$Y$92,J$80,$C$99:$D106)</f>
        <v>0</v>
      </c>
      <c r="K106" s="193">
        <f>DSUM($B$80:$Y$92,K$80,$C$99:$D106)</f>
        <v>0</v>
      </c>
      <c r="L106" s="193">
        <f>DSUM($B$80:$Y$92,L$80,$C$99:$D106)</f>
        <v>0</v>
      </c>
      <c r="M106" s="193">
        <f>DSUM($B$80:$Y$92,M$80,$C$99:$D106)</f>
        <v>0</v>
      </c>
      <c r="N106" s="193">
        <f>DSUM($B$80:$Y$92,N$80,$C$99:$D106)</f>
        <v>0</v>
      </c>
      <c r="O106" s="193">
        <f>DSUM($B$80:$Y$92,O$80,$C$99:$D106)</f>
        <v>0</v>
      </c>
      <c r="P106" s="193">
        <f>DSUM($B$80:$Y$92,P$80,$C$99:$D106)</f>
        <v>0</v>
      </c>
      <c r="Q106" s="193">
        <f>DSUM($B$80:$Y$92,Q$80,$C$99:$D106)</f>
        <v>0</v>
      </c>
      <c r="R106" s="193">
        <f>DSUM($B$80:$Y$92,R$80,$C$99:$D106)</f>
        <v>0</v>
      </c>
      <c r="S106" s="193">
        <f>DSUM($B$80:$Y$92,S$80,$C$99:$D106)</f>
        <v>0</v>
      </c>
      <c r="T106" s="193">
        <f>DSUM($B$80:$Y$92,T$80,$C$99:$D106)</f>
        <v>0</v>
      </c>
      <c r="U106" s="193">
        <f>DSUM($B$80:$Y$92,U$80,$C$99:$D106)</f>
        <v>0</v>
      </c>
      <c r="V106" s="193">
        <f>DSUM($B$80:$Y$92,V$80,$C$99:$D106)</f>
        <v>0</v>
      </c>
      <c r="W106" s="193">
        <f>DSUM($B$80:$Y$92,W$80,$C$99:$D106)</f>
        <v>0</v>
      </c>
      <c r="X106" s="193">
        <f>DSUM($B$80:$Y$92,X$80,$C$99:$D106)</f>
        <v>0</v>
      </c>
      <c r="Y106" s="193">
        <f>DSUM($B$80:$Y$92,Y$80,$C$99:$D106)</f>
        <v>90.706306278393498</v>
      </c>
      <c r="Z106" s="182"/>
      <c r="AA106" s="182"/>
      <c r="AB106" s="182"/>
      <c r="AC106" s="182"/>
    </row>
    <row r="107" spans="1:29" s="179" customFormat="1">
      <c r="A107" s="182"/>
      <c r="B107" s="182" t="s">
        <v>722</v>
      </c>
      <c r="C107" s="237" t="s">
        <v>824</v>
      </c>
      <c r="D107" s="237" t="s">
        <v>825</v>
      </c>
      <c r="E107" s="193">
        <f>DSUM($B$80:$Y$92,E$80,$C$99:$D107)</f>
        <v>15.111927336119066</v>
      </c>
      <c r="F107" s="193">
        <f>DSUM($B$80:$Y$92,F$80,$C$99:$D107)</f>
        <v>12.030336972381447</v>
      </c>
      <c r="G107" s="193">
        <f>DSUM($B$80:$Y$92,G$80,$C$99:$D107)</f>
        <v>8.9758402864864397</v>
      </c>
      <c r="H107" s="193">
        <f>DSUM($B$80:$Y$92,H$80,$C$99:$D107)</f>
        <v>5.9577196616146422</v>
      </c>
      <c r="I107" s="193">
        <f>DSUM($B$80:$Y$92,I$80,$C$99:$D107)</f>
        <v>0</v>
      </c>
      <c r="J107" s="193">
        <f>DSUM($B$80:$Y$92,J$80,$C$99:$D107)</f>
        <v>0</v>
      </c>
      <c r="K107" s="193">
        <f>DSUM($B$80:$Y$92,K$80,$C$99:$D107)</f>
        <v>0</v>
      </c>
      <c r="L107" s="193">
        <f>DSUM($B$80:$Y$92,L$80,$C$99:$D107)</f>
        <v>0</v>
      </c>
      <c r="M107" s="193">
        <f>DSUM($B$80:$Y$92,M$80,$C$99:$D107)</f>
        <v>0</v>
      </c>
      <c r="N107" s="193">
        <f>DSUM($B$80:$Y$92,N$80,$C$99:$D107)</f>
        <v>0</v>
      </c>
      <c r="O107" s="193">
        <f>DSUM($B$80:$Y$92,O$80,$C$99:$D107)</f>
        <v>0</v>
      </c>
      <c r="P107" s="193">
        <f>DSUM($B$80:$Y$92,P$80,$C$99:$D107)</f>
        <v>0</v>
      </c>
      <c r="Q107" s="193">
        <f>DSUM($B$80:$Y$92,Q$80,$C$99:$D107)</f>
        <v>0</v>
      </c>
      <c r="R107" s="193">
        <f>DSUM($B$80:$Y$92,R$80,$C$99:$D107)</f>
        <v>0</v>
      </c>
      <c r="S107" s="193">
        <f>DSUM($B$80:$Y$92,S$80,$C$99:$D107)</f>
        <v>0</v>
      </c>
      <c r="T107" s="193">
        <f>DSUM($B$80:$Y$92,T$80,$C$99:$D107)</f>
        <v>0</v>
      </c>
      <c r="U107" s="193">
        <f>DSUM($B$80:$Y$92,U$80,$C$99:$D107)</f>
        <v>0</v>
      </c>
      <c r="V107" s="193">
        <f>DSUM($B$80:$Y$92,V$80,$C$99:$D107)</f>
        <v>0</v>
      </c>
      <c r="W107" s="193">
        <f>DSUM($B$80:$Y$92,W$80,$C$99:$D107)</f>
        <v>0</v>
      </c>
      <c r="X107" s="193">
        <f>DSUM($B$80:$Y$92,X$80,$C$99:$D107)</f>
        <v>0</v>
      </c>
      <c r="Y107" s="193">
        <f>DSUM($B$80:$Y$92,Y$80,$C$99:$D107)</f>
        <v>90.706306278393498</v>
      </c>
      <c r="Z107" s="182"/>
      <c r="AA107" s="182"/>
      <c r="AB107" s="182"/>
      <c r="AC107" s="182"/>
    </row>
    <row r="108" spans="1:29" s="179" customFormat="1">
      <c r="A108" s="182"/>
      <c r="B108" s="182" t="s">
        <v>723</v>
      </c>
      <c r="C108" s="237" t="s">
        <v>826</v>
      </c>
      <c r="D108" s="237" t="s">
        <v>827</v>
      </c>
      <c r="E108" s="193">
        <f>DSUM($B$80:$Y$92,E$80,$C$99:$D108)</f>
        <v>15.111927336119066</v>
      </c>
      <c r="F108" s="193">
        <f>DSUM($B$80:$Y$92,F$80,$C$99:$D108)</f>
        <v>12.030336972381447</v>
      </c>
      <c r="G108" s="193">
        <f>DSUM($B$80:$Y$92,G$80,$C$99:$D108)</f>
        <v>8.9758402864864397</v>
      </c>
      <c r="H108" s="193">
        <f>DSUM($B$80:$Y$92,H$80,$C$99:$D108)</f>
        <v>5.9577196616146422</v>
      </c>
      <c r="I108" s="193">
        <f>DSUM($B$80:$Y$92,I$80,$C$99:$D108)</f>
        <v>0</v>
      </c>
      <c r="J108" s="193">
        <f>DSUM($B$80:$Y$92,J$80,$C$99:$D108)</f>
        <v>0</v>
      </c>
      <c r="K108" s="193">
        <f>DSUM($B$80:$Y$92,K$80,$C$99:$D108)</f>
        <v>0</v>
      </c>
      <c r="L108" s="193">
        <f>DSUM($B$80:$Y$92,L$80,$C$99:$D108)</f>
        <v>0</v>
      </c>
      <c r="M108" s="193">
        <f>DSUM($B$80:$Y$92,M$80,$C$99:$D108)</f>
        <v>0</v>
      </c>
      <c r="N108" s="193">
        <f>DSUM($B$80:$Y$92,N$80,$C$99:$D108)</f>
        <v>0</v>
      </c>
      <c r="O108" s="193">
        <f>DSUM($B$80:$Y$92,O$80,$C$99:$D108)</f>
        <v>0</v>
      </c>
      <c r="P108" s="193">
        <f>DSUM($B$80:$Y$92,P$80,$C$99:$D108)</f>
        <v>0</v>
      </c>
      <c r="Q108" s="193">
        <f>DSUM($B$80:$Y$92,Q$80,$C$99:$D108)</f>
        <v>0</v>
      </c>
      <c r="R108" s="193">
        <f>DSUM($B$80:$Y$92,R$80,$C$99:$D108)</f>
        <v>0</v>
      </c>
      <c r="S108" s="193">
        <f>DSUM($B$80:$Y$92,S$80,$C$99:$D108)</f>
        <v>0</v>
      </c>
      <c r="T108" s="193">
        <f>DSUM($B$80:$Y$92,T$80,$C$99:$D108)</f>
        <v>0</v>
      </c>
      <c r="U108" s="193">
        <f>DSUM($B$80:$Y$92,U$80,$C$99:$D108)</f>
        <v>0</v>
      </c>
      <c r="V108" s="193">
        <f>DSUM($B$80:$Y$92,V$80,$C$99:$D108)</f>
        <v>0</v>
      </c>
      <c r="W108" s="193">
        <f>DSUM($B$80:$Y$92,W$80,$C$99:$D108)</f>
        <v>0</v>
      </c>
      <c r="X108" s="193">
        <f>DSUM($B$80:$Y$92,X$80,$C$99:$D108)</f>
        <v>0</v>
      </c>
      <c r="Y108" s="193">
        <f>DSUM($B$80:$Y$92,Y$80,$C$99:$D108)</f>
        <v>90.706306278393498</v>
      </c>
      <c r="Z108" s="182"/>
      <c r="AA108" s="182"/>
      <c r="AB108" s="182"/>
      <c r="AC108" s="182"/>
    </row>
    <row r="109" spans="1:29" s="179" customFormat="1">
      <c r="A109" s="182"/>
      <c r="B109" s="182" t="s">
        <v>724</v>
      </c>
      <c r="C109" s="237" t="s">
        <v>828</v>
      </c>
      <c r="D109" s="237" t="s">
        <v>829</v>
      </c>
      <c r="E109" s="193">
        <f>DSUM($B$80:$Y$92,E$80,$C$99:$D109)</f>
        <v>15.111927336119066</v>
      </c>
      <c r="F109" s="193">
        <f>DSUM($B$80:$Y$92,F$80,$C$99:$D109)</f>
        <v>12.030336972381447</v>
      </c>
      <c r="G109" s="193">
        <f>DSUM($B$80:$Y$92,G$80,$C$99:$D109)</f>
        <v>8.9758402864864397</v>
      </c>
      <c r="H109" s="193">
        <f>DSUM($B$80:$Y$92,H$80,$C$99:$D109)</f>
        <v>5.9577196616146422</v>
      </c>
      <c r="I109" s="193">
        <f>DSUM($B$80:$Y$92,I$80,$C$99:$D109)</f>
        <v>0</v>
      </c>
      <c r="J109" s="193">
        <f>DSUM($B$80:$Y$92,J$80,$C$99:$D109)</f>
        <v>0</v>
      </c>
      <c r="K109" s="193">
        <f>DSUM($B$80:$Y$92,K$80,$C$99:$D109)</f>
        <v>0</v>
      </c>
      <c r="L109" s="193">
        <f>DSUM($B$80:$Y$92,L$80,$C$99:$D109)</f>
        <v>0</v>
      </c>
      <c r="M109" s="193">
        <f>DSUM($B$80:$Y$92,M$80,$C$99:$D109)</f>
        <v>0</v>
      </c>
      <c r="N109" s="193">
        <f>DSUM($B$80:$Y$92,N$80,$C$99:$D109)</f>
        <v>0</v>
      </c>
      <c r="O109" s="193">
        <f>DSUM($B$80:$Y$92,O$80,$C$99:$D109)</f>
        <v>0</v>
      </c>
      <c r="P109" s="193">
        <f>DSUM($B$80:$Y$92,P$80,$C$99:$D109)</f>
        <v>0</v>
      </c>
      <c r="Q109" s="193">
        <f>DSUM($B$80:$Y$92,Q$80,$C$99:$D109)</f>
        <v>0</v>
      </c>
      <c r="R109" s="193">
        <f>DSUM($B$80:$Y$92,R$80,$C$99:$D109)</f>
        <v>0</v>
      </c>
      <c r="S109" s="193">
        <f>DSUM($B$80:$Y$92,S$80,$C$99:$D109)</f>
        <v>0</v>
      </c>
      <c r="T109" s="193">
        <f>DSUM($B$80:$Y$92,T$80,$C$99:$D109)</f>
        <v>0</v>
      </c>
      <c r="U109" s="193">
        <f>DSUM($B$80:$Y$92,U$80,$C$99:$D109)</f>
        <v>0</v>
      </c>
      <c r="V109" s="193">
        <f>DSUM($B$80:$Y$92,V$80,$C$99:$D109)</f>
        <v>0</v>
      </c>
      <c r="W109" s="193">
        <f>DSUM($B$80:$Y$92,W$80,$C$99:$D109)</f>
        <v>0</v>
      </c>
      <c r="X109" s="193">
        <f>DSUM($B$80:$Y$92,X$80,$C$99:$D109)</f>
        <v>0</v>
      </c>
      <c r="Y109" s="193">
        <f>DSUM($B$80:$Y$92,Y$80,$C$99:$D109)</f>
        <v>90.706306278393498</v>
      </c>
      <c r="Z109" s="182"/>
      <c r="AA109" s="182"/>
      <c r="AB109" s="182"/>
      <c r="AC109" s="182"/>
    </row>
    <row r="110" spans="1:29" s="179" customFormat="1">
      <c r="A110" s="182"/>
      <c r="B110" s="182" t="s">
        <v>725</v>
      </c>
      <c r="C110" s="237" t="s">
        <v>830</v>
      </c>
      <c r="D110" s="237" t="s">
        <v>831</v>
      </c>
      <c r="E110" s="193">
        <f>DSUM($B$80:$Y$92,E$80,$C$99:$D110)</f>
        <v>15.111927336119066</v>
      </c>
      <c r="F110" s="193">
        <f>DSUM($B$80:$Y$92,F$80,$C$99:$D110)</f>
        <v>12.030336972381447</v>
      </c>
      <c r="G110" s="193">
        <f>DSUM($B$80:$Y$92,G$80,$C$99:$D110)</f>
        <v>8.9758402864864397</v>
      </c>
      <c r="H110" s="193">
        <f>DSUM($B$80:$Y$92,H$80,$C$99:$D110)</f>
        <v>5.9577196616146422</v>
      </c>
      <c r="I110" s="193">
        <f>DSUM($B$80:$Y$92,I$80,$C$99:$D110)</f>
        <v>0</v>
      </c>
      <c r="J110" s="193">
        <f>DSUM($B$80:$Y$92,J$80,$C$99:$D110)</f>
        <v>0</v>
      </c>
      <c r="K110" s="193">
        <f>DSUM($B$80:$Y$92,K$80,$C$99:$D110)</f>
        <v>0</v>
      </c>
      <c r="L110" s="193">
        <f>DSUM($B$80:$Y$92,L$80,$C$99:$D110)</f>
        <v>0</v>
      </c>
      <c r="M110" s="193">
        <f>DSUM($B$80:$Y$92,M$80,$C$99:$D110)</f>
        <v>0</v>
      </c>
      <c r="N110" s="193">
        <f>DSUM($B$80:$Y$92,N$80,$C$99:$D110)</f>
        <v>0</v>
      </c>
      <c r="O110" s="193">
        <f>DSUM($B$80:$Y$92,O$80,$C$99:$D110)</f>
        <v>0</v>
      </c>
      <c r="P110" s="193">
        <f>DSUM($B$80:$Y$92,P$80,$C$99:$D110)</f>
        <v>0</v>
      </c>
      <c r="Q110" s="193">
        <f>DSUM($B$80:$Y$92,Q$80,$C$99:$D110)</f>
        <v>0</v>
      </c>
      <c r="R110" s="193">
        <f>DSUM($B$80:$Y$92,R$80,$C$99:$D110)</f>
        <v>0</v>
      </c>
      <c r="S110" s="193">
        <f>DSUM($B$80:$Y$92,S$80,$C$99:$D110)</f>
        <v>0</v>
      </c>
      <c r="T110" s="193">
        <f>DSUM($B$80:$Y$92,T$80,$C$99:$D110)</f>
        <v>0</v>
      </c>
      <c r="U110" s="193">
        <f>DSUM($B$80:$Y$92,U$80,$C$99:$D110)</f>
        <v>0</v>
      </c>
      <c r="V110" s="193">
        <f>DSUM($B$80:$Y$92,V$80,$C$99:$D110)</f>
        <v>0</v>
      </c>
      <c r="W110" s="193">
        <f>DSUM($B$80:$Y$92,W$80,$C$99:$D110)</f>
        <v>0</v>
      </c>
      <c r="X110" s="193">
        <f>DSUM($B$80:$Y$92,X$80,$C$99:$D110)</f>
        <v>0</v>
      </c>
      <c r="Y110" s="193">
        <f>DSUM($B$80:$Y$92,Y$80,$C$99:$D110)</f>
        <v>90.706306278393498</v>
      </c>
      <c r="Z110" s="182"/>
      <c r="AA110" s="182"/>
      <c r="AB110" s="182"/>
      <c r="AC110" s="182"/>
    </row>
    <row r="111" spans="1:29" s="179" customFormat="1">
      <c r="A111" s="182"/>
      <c r="B111" s="182" t="s">
        <v>726</v>
      </c>
      <c r="C111" s="237" t="s">
        <v>832</v>
      </c>
      <c r="D111" s="237" t="s">
        <v>833</v>
      </c>
      <c r="E111" s="193">
        <f>DSUM($B$80:$Y$92,E$80,$C$99:$D111)</f>
        <v>15.111927336119066</v>
      </c>
      <c r="F111" s="193">
        <f>DSUM($B$80:$Y$92,F$80,$C$99:$D111)</f>
        <v>12.030336972381447</v>
      </c>
      <c r="G111" s="193">
        <f>DSUM($B$80:$Y$92,G$80,$C$99:$D111)</f>
        <v>8.9758402864864397</v>
      </c>
      <c r="H111" s="193">
        <f>DSUM($B$80:$Y$92,H$80,$C$99:$D111)</f>
        <v>5.9577196616146422</v>
      </c>
      <c r="I111" s="193">
        <f>DSUM($B$80:$Y$92,I$80,$C$99:$D111)</f>
        <v>0</v>
      </c>
      <c r="J111" s="193">
        <f>DSUM($B$80:$Y$92,J$80,$C$99:$D111)</f>
        <v>0</v>
      </c>
      <c r="K111" s="193">
        <f>DSUM($B$80:$Y$92,K$80,$C$99:$D111)</f>
        <v>0</v>
      </c>
      <c r="L111" s="193">
        <f>DSUM($B$80:$Y$92,L$80,$C$99:$D111)</f>
        <v>0</v>
      </c>
      <c r="M111" s="193">
        <f>DSUM($B$80:$Y$92,M$80,$C$99:$D111)</f>
        <v>0</v>
      </c>
      <c r="N111" s="193">
        <f>DSUM($B$80:$Y$92,N$80,$C$99:$D111)</f>
        <v>0</v>
      </c>
      <c r="O111" s="193">
        <f>DSUM($B$80:$Y$92,O$80,$C$99:$D111)</f>
        <v>0</v>
      </c>
      <c r="P111" s="193">
        <f>DSUM($B$80:$Y$92,P$80,$C$99:$D111)</f>
        <v>0</v>
      </c>
      <c r="Q111" s="193">
        <f>DSUM($B$80:$Y$92,Q$80,$C$99:$D111)</f>
        <v>0</v>
      </c>
      <c r="R111" s="193">
        <f>DSUM($B$80:$Y$92,R$80,$C$99:$D111)</f>
        <v>0</v>
      </c>
      <c r="S111" s="193">
        <f>DSUM($B$80:$Y$92,S$80,$C$99:$D111)</f>
        <v>0</v>
      </c>
      <c r="T111" s="193">
        <f>DSUM($B$80:$Y$92,T$80,$C$99:$D111)</f>
        <v>0</v>
      </c>
      <c r="U111" s="193">
        <f>DSUM($B$80:$Y$92,U$80,$C$99:$D111)</f>
        <v>0</v>
      </c>
      <c r="V111" s="193">
        <f>DSUM($B$80:$Y$92,V$80,$C$99:$D111)</f>
        <v>0</v>
      </c>
      <c r="W111" s="193">
        <f>DSUM($B$80:$Y$92,W$80,$C$99:$D111)</f>
        <v>0</v>
      </c>
      <c r="X111" s="193">
        <f>DSUM($B$80:$Y$92,X$80,$C$99:$D111)</f>
        <v>0</v>
      </c>
      <c r="Y111" s="193">
        <f>DSUM($B$80:$Y$92,Y$80,$C$99:$D111)</f>
        <v>90.706306278393498</v>
      </c>
      <c r="Z111" s="182"/>
      <c r="AA111" s="182"/>
      <c r="AB111" s="182"/>
      <c r="AC111" s="182"/>
    </row>
    <row r="112" spans="1:29" s="179" customFormat="1">
      <c r="A112" s="182"/>
      <c r="B112" s="182" t="s">
        <v>727</v>
      </c>
      <c r="C112" s="237" t="s">
        <v>834</v>
      </c>
      <c r="D112" s="237" t="s">
        <v>835</v>
      </c>
      <c r="E112" s="193">
        <f>DSUM($B$80:$Y$92,E$80,$C$99:$D112)</f>
        <v>15.111927336119066</v>
      </c>
      <c r="F112" s="193">
        <f>DSUM($B$80:$Y$92,F$80,$C$99:$D112)</f>
        <v>12.030336972381447</v>
      </c>
      <c r="G112" s="193">
        <f>DSUM($B$80:$Y$92,G$80,$C$99:$D112)</f>
        <v>8.9758402864864397</v>
      </c>
      <c r="H112" s="193">
        <f>DSUM($B$80:$Y$92,H$80,$C$99:$D112)</f>
        <v>5.9577196616146422</v>
      </c>
      <c r="I112" s="193">
        <f>DSUM($B$80:$Y$92,I$80,$C$99:$D112)</f>
        <v>0</v>
      </c>
      <c r="J112" s="193">
        <f>DSUM($B$80:$Y$92,J$80,$C$99:$D112)</f>
        <v>0</v>
      </c>
      <c r="K112" s="193">
        <f>DSUM($B$80:$Y$92,K$80,$C$99:$D112)</f>
        <v>0</v>
      </c>
      <c r="L112" s="193">
        <f>DSUM($B$80:$Y$92,L$80,$C$99:$D112)</f>
        <v>0</v>
      </c>
      <c r="M112" s="193">
        <f>DSUM($B$80:$Y$92,M$80,$C$99:$D112)</f>
        <v>0</v>
      </c>
      <c r="N112" s="193">
        <f>DSUM($B$80:$Y$92,N$80,$C$99:$D112)</f>
        <v>0</v>
      </c>
      <c r="O112" s="193">
        <f>DSUM($B$80:$Y$92,O$80,$C$99:$D112)</f>
        <v>0</v>
      </c>
      <c r="P112" s="193">
        <f>DSUM($B$80:$Y$92,P$80,$C$99:$D112)</f>
        <v>0</v>
      </c>
      <c r="Q112" s="193">
        <f>DSUM($B$80:$Y$92,Q$80,$C$99:$D112)</f>
        <v>0</v>
      </c>
      <c r="R112" s="193">
        <f>DSUM($B$80:$Y$92,R$80,$C$99:$D112)</f>
        <v>0</v>
      </c>
      <c r="S112" s="193">
        <f>DSUM($B$80:$Y$92,S$80,$C$99:$D112)</f>
        <v>0</v>
      </c>
      <c r="T112" s="193">
        <f>DSUM($B$80:$Y$92,T$80,$C$99:$D112)</f>
        <v>0</v>
      </c>
      <c r="U112" s="193">
        <f>DSUM($B$80:$Y$92,U$80,$C$99:$D112)</f>
        <v>0</v>
      </c>
      <c r="V112" s="193">
        <f>DSUM($B$80:$Y$92,V$80,$C$99:$D112)</f>
        <v>0</v>
      </c>
      <c r="W112" s="193">
        <f>DSUM($B$80:$Y$92,W$80,$C$99:$D112)</f>
        <v>0</v>
      </c>
      <c r="X112" s="193">
        <f>DSUM($B$80:$Y$92,X$80,$C$99:$D112)</f>
        <v>0</v>
      </c>
      <c r="Y112" s="193">
        <f>DSUM($B$80:$Y$92,Y$80,$C$99:$D112)</f>
        <v>90.706306278393498</v>
      </c>
      <c r="Z112" s="182"/>
      <c r="AA112" s="182"/>
      <c r="AB112" s="182"/>
      <c r="AC112" s="182"/>
    </row>
    <row r="113" spans="1:29" s="179" customFormat="1">
      <c r="A113" s="182"/>
      <c r="B113" s="182" t="s">
        <v>728</v>
      </c>
      <c r="C113" s="237" t="s">
        <v>836</v>
      </c>
      <c r="D113" s="237" t="s">
        <v>837</v>
      </c>
      <c r="E113" s="193">
        <f>DSUM($B$80:$Y$92,E$80,$C$99:$D113)</f>
        <v>15.111927336119066</v>
      </c>
      <c r="F113" s="193">
        <f>DSUM($B$80:$Y$92,F$80,$C$99:$D113)</f>
        <v>12.030336972381447</v>
      </c>
      <c r="G113" s="193">
        <f>DSUM($B$80:$Y$92,G$80,$C$99:$D113)</f>
        <v>8.9758402864864397</v>
      </c>
      <c r="H113" s="193">
        <f>DSUM($B$80:$Y$92,H$80,$C$99:$D113)</f>
        <v>5.9577196616146422</v>
      </c>
      <c r="I113" s="193">
        <f>DSUM($B$80:$Y$92,I$80,$C$99:$D113)</f>
        <v>0</v>
      </c>
      <c r="J113" s="193">
        <f>DSUM($B$80:$Y$92,J$80,$C$99:$D113)</f>
        <v>0</v>
      </c>
      <c r="K113" s="193">
        <f>DSUM($B$80:$Y$92,K$80,$C$99:$D113)</f>
        <v>0</v>
      </c>
      <c r="L113" s="193">
        <f>DSUM($B$80:$Y$92,L$80,$C$99:$D113)</f>
        <v>0</v>
      </c>
      <c r="M113" s="193">
        <f>DSUM($B$80:$Y$92,M$80,$C$99:$D113)</f>
        <v>0</v>
      </c>
      <c r="N113" s="193">
        <f>DSUM($B$80:$Y$92,N$80,$C$99:$D113)</f>
        <v>0</v>
      </c>
      <c r="O113" s="193">
        <f>DSUM($B$80:$Y$92,O$80,$C$99:$D113)</f>
        <v>0</v>
      </c>
      <c r="P113" s="193">
        <f>DSUM($B$80:$Y$92,P$80,$C$99:$D113)</f>
        <v>0</v>
      </c>
      <c r="Q113" s="193">
        <f>DSUM($B$80:$Y$92,Q$80,$C$99:$D113)</f>
        <v>0</v>
      </c>
      <c r="R113" s="193">
        <f>DSUM($B$80:$Y$92,R$80,$C$99:$D113)</f>
        <v>0</v>
      </c>
      <c r="S113" s="193">
        <f>DSUM($B$80:$Y$92,S$80,$C$99:$D113)</f>
        <v>0</v>
      </c>
      <c r="T113" s="193">
        <f>DSUM($B$80:$Y$92,T$80,$C$99:$D113)</f>
        <v>0</v>
      </c>
      <c r="U113" s="193">
        <f>DSUM($B$80:$Y$92,U$80,$C$99:$D113)</f>
        <v>0</v>
      </c>
      <c r="V113" s="193">
        <f>DSUM($B$80:$Y$92,V$80,$C$99:$D113)</f>
        <v>0</v>
      </c>
      <c r="W113" s="193">
        <f>DSUM($B$80:$Y$92,W$80,$C$99:$D113)</f>
        <v>0</v>
      </c>
      <c r="X113" s="193">
        <f>DSUM($B$80:$Y$92,X$80,$C$99:$D113)</f>
        <v>0</v>
      </c>
      <c r="Y113" s="193">
        <f>DSUM($B$80:$Y$92,Y$80,$C$99:$D113)</f>
        <v>90.706306278393498</v>
      </c>
      <c r="Z113" s="182"/>
      <c r="AA113" s="182"/>
      <c r="AB113" s="182"/>
      <c r="AC113" s="182"/>
    </row>
    <row r="114" spans="1:29" s="179" customFormat="1">
      <c r="A114" s="182"/>
      <c r="B114" s="182" t="s">
        <v>729</v>
      </c>
      <c r="C114" s="237" t="s">
        <v>838</v>
      </c>
      <c r="D114" s="237" t="s">
        <v>839</v>
      </c>
      <c r="E114" s="193">
        <f>DSUM($B$80:$Y$92,E$80,$C$99:$D114)</f>
        <v>15.111927336119066</v>
      </c>
      <c r="F114" s="193">
        <f>DSUM($B$80:$Y$92,F$80,$C$99:$D114)</f>
        <v>12.030336972381447</v>
      </c>
      <c r="G114" s="193">
        <f>DSUM($B$80:$Y$92,G$80,$C$99:$D114)</f>
        <v>8.9758402864864397</v>
      </c>
      <c r="H114" s="193">
        <f>DSUM($B$80:$Y$92,H$80,$C$99:$D114)</f>
        <v>5.9577196616146422</v>
      </c>
      <c r="I114" s="193">
        <f>DSUM($B$80:$Y$92,I$80,$C$99:$D114)</f>
        <v>0</v>
      </c>
      <c r="J114" s="193">
        <f>DSUM($B$80:$Y$92,J$80,$C$99:$D114)</f>
        <v>0</v>
      </c>
      <c r="K114" s="193">
        <f>DSUM($B$80:$Y$92,K$80,$C$99:$D114)</f>
        <v>0</v>
      </c>
      <c r="L114" s="193">
        <f>DSUM($B$80:$Y$92,L$80,$C$99:$D114)</f>
        <v>0</v>
      </c>
      <c r="M114" s="193">
        <f>DSUM($B$80:$Y$92,M$80,$C$99:$D114)</f>
        <v>0</v>
      </c>
      <c r="N114" s="193">
        <f>DSUM($B$80:$Y$92,N$80,$C$99:$D114)</f>
        <v>0</v>
      </c>
      <c r="O114" s="193">
        <f>DSUM($B$80:$Y$92,O$80,$C$99:$D114)</f>
        <v>0</v>
      </c>
      <c r="P114" s="193">
        <f>DSUM($B$80:$Y$92,P$80,$C$99:$D114)</f>
        <v>0</v>
      </c>
      <c r="Q114" s="193">
        <f>DSUM($B$80:$Y$92,Q$80,$C$99:$D114)</f>
        <v>0</v>
      </c>
      <c r="R114" s="193">
        <f>DSUM($B$80:$Y$92,R$80,$C$99:$D114)</f>
        <v>0</v>
      </c>
      <c r="S114" s="193">
        <f>DSUM($B$80:$Y$92,S$80,$C$99:$D114)</f>
        <v>0</v>
      </c>
      <c r="T114" s="193">
        <f>DSUM($B$80:$Y$92,T$80,$C$99:$D114)</f>
        <v>0</v>
      </c>
      <c r="U114" s="193">
        <f>DSUM($B$80:$Y$92,U$80,$C$99:$D114)</f>
        <v>0</v>
      </c>
      <c r="V114" s="193">
        <f>DSUM($B$80:$Y$92,V$80,$C$99:$D114)</f>
        <v>0</v>
      </c>
      <c r="W114" s="193">
        <f>DSUM($B$80:$Y$92,W$80,$C$99:$D114)</f>
        <v>0</v>
      </c>
      <c r="X114" s="193">
        <f>DSUM($B$80:$Y$92,X$80,$C$99:$D114)</f>
        <v>0</v>
      </c>
      <c r="Y114" s="193">
        <f>DSUM($B$80:$Y$92,Y$80,$C$99:$D114)</f>
        <v>90.706306278393498</v>
      </c>
      <c r="Z114" s="182"/>
      <c r="AA114" s="182"/>
      <c r="AB114" s="182"/>
      <c r="AC114" s="182"/>
    </row>
    <row r="115" spans="1:29" s="179" customFormat="1">
      <c r="A115" s="182"/>
      <c r="B115" s="182" t="s">
        <v>730</v>
      </c>
      <c r="C115" s="237" t="s">
        <v>840</v>
      </c>
      <c r="D115" s="237" t="s">
        <v>841</v>
      </c>
      <c r="E115" s="193">
        <f>DSUM($B$80:$Y$92,E$80,$C$99:$D115)</f>
        <v>15.111927336119066</v>
      </c>
      <c r="F115" s="193">
        <f>DSUM($B$80:$Y$92,F$80,$C$99:$D115)</f>
        <v>12.030336972381447</v>
      </c>
      <c r="G115" s="193">
        <f>DSUM($B$80:$Y$92,G$80,$C$99:$D115)</f>
        <v>8.9758402864864397</v>
      </c>
      <c r="H115" s="193">
        <f>DSUM($B$80:$Y$92,H$80,$C$99:$D115)</f>
        <v>5.9577196616146422</v>
      </c>
      <c r="I115" s="193">
        <f>DSUM($B$80:$Y$92,I$80,$C$99:$D115)</f>
        <v>0</v>
      </c>
      <c r="J115" s="193">
        <f>DSUM($B$80:$Y$92,J$80,$C$99:$D115)</f>
        <v>0</v>
      </c>
      <c r="K115" s="193">
        <f>DSUM($B$80:$Y$92,K$80,$C$99:$D115)</f>
        <v>0</v>
      </c>
      <c r="L115" s="193">
        <f>DSUM($B$80:$Y$92,L$80,$C$99:$D115)</f>
        <v>0</v>
      </c>
      <c r="M115" s="193">
        <f>DSUM($B$80:$Y$92,M$80,$C$99:$D115)</f>
        <v>0</v>
      </c>
      <c r="N115" s="193">
        <f>DSUM($B$80:$Y$92,N$80,$C$99:$D115)</f>
        <v>0</v>
      </c>
      <c r="O115" s="193">
        <f>DSUM($B$80:$Y$92,O$80,$C$99:$D115)</f>
        <v>0</v>
      </c>
      <c r="P115" s="193">
        <f>DSUM($B$80:$Y$92,P$80,$C$99:$D115)</f>
        <v>0</v>
      </c>
      <c r="Q115" s="193">
        <f>DSUM($B$80:$Y$92,Q$80,$C$99:$D115)</f>
        <v>0</v>
      </c>
      <c r="R115" s="193">
        <f>DSUM($B$80:$Y$92,R$80,$C$99:$D115)</f>
        <v>0</v>
      </c>
      <c r="S115" s="193">
        <f>DSUM($B$80:$Y$92,S$80,$C$99:$D115)</f>
        <v>0</v>
      </c>
      <c r="T115" s="193">
        <f>DSUM($B$80:$Y$92,T$80,$C$99:$D115)</f>
        <v>0</v>
      </c>
      <c r="U115" s="193">
        <f>DSUM($B$80:$Y$92,U$80,$C$99:$D115)</f>
        <v>0</v>
      </c>
      <c r="V115" s="193">
        <f>DSUM($B$80:$Y$92,V$80,$C$99:$D115)</f>
        <v>0</v>
      </c>
      <c r="W115" s="193">
        <f>DSUM($B$80:$Y$92,W$80,$C$99:$D115)</f>
        <v>0</v>
      </c>
      <c r="X115" s="193">
        <f>DSUM($B$80:$Y$92,X$80,$C$99:$D115)</f>
        <v>0</v>
      </c>
      <c r="Y115" s="193">
        <f>DSUM($B$80:$Y$92,Y$80,$C$99:$D115)</f>
        <v>90.706306278393498</v>
      </c>
      <c r="Z115" s="182"/>
      <c r="AA115" s="182"/>
      <c r="AB115" s="182"/>
      <c r="AC115" s="182"/>
    </row>
    <row r="116" spans="1:29" s="179" customFormat="1">
      <c r="A116" s="182"/>
      <c r="B116" s="182" t="s">
        <v>731</v>
      </c>
      <c r="C116" s="237" t="s">
        <v>842</v>
      </c>
      <c r="D116" s="237" t="s">
        <v>843</v>
      </c>
      <c r="E116" s="193">
        <f>DSUM($B$80:$Y$92,E$80,$C$99:$D116)</f>
        <v>15.111927336119066</v>
      </c>
      <c r="F116" s="193">
        <f>DSUM($B$80:$Y$92,F$80,$C$99:$D116)</f>
        <v>12.030336972381447</v>
      </c>
      <c r="G116" s="193">
        <f>DSUM($B$80:$Y$92,G$80,$C$99:$D116)</f>
        <v>8.9758402864864397</v>
      </c>
      <c r="H116" s="193">
        <f>DSUM($B$80:$Y$92,H$80,$C$99:$D116)</f>
        <v>5.9577196616146422</v>
      </c>
      <c r="I116" s="193">
        <f>DSUM($B$80:$Y$92,I$80,$C$99:$D116)</f>
        <v>0</v>
      </c>
      <c r="J116" s="193">
        <f>DSUM($B$80:$Y$92,J$80,$C$99:$D116)</f>
        <v>0</v>
      </c>
      <c r="K116" s="193">
        <f>DSUM($B$80:$Y$92,K$80,$C$99:$D116)</f>
        <v>0</v>
      </c>
      <c r="L116" s="193">
        <f>DSUM($B$80:$Y$92,L$80,$C$99:$D116)</f>
        <v>0</v>
      </c>
      <c r="M116" s="193">
        <f>DSUM($B$80:$Y$92,M$80,$C$99:$D116)</f>
        <v>0</v>
      </c>
      <c r="N116" s="193">
        <f>DSUM($B$80:$Y$92,N$80,$C$99:$D116)</f>
        <v>0</v>
      </c>
      <c r="O116" s="193">
        <f>DSUM($B$80:$Y$92,O$80,$C$99:$D116)</f>
        <v>0</v>
      </c>
      <c r="P116" s="193">
        <f>DSUM($B$80:$Y$92,P$80,$C$99:$D116)</f>
        <v>0</v>
      </c>
      <c r="Q116" s="193">
        <f>DSUM($B$80:$Y$92,Q$80,$C$99:$D116)</f>
        <v>0</v>
      </c>
      <c r="R116" s="193">
        <f>DSUM($B$80:$Y$92,R$80,$C$99:$D116)</f>
        <v>0</v>
      </c>
      <c r="S116" s="193">
        <f>DSUM($B$80:$Y$92,S$80,$C$99:$D116)</f>
        <v>0</v>
      </c>
      <c r="T116" s="193">
        <f>DSUM($B$80:$Y$92,T$80,$C$99:$D116)</f>
        <v>0</v>
      </c>
      <c r="U116" s="193">
        <f>DSUM($B$80:$Y$92,U$80,$C$99:$D116)</f>
        <v>0</v>
      </c>
      <c r="V116" s="193">
        <f>DSUM($B$80:$Y$92,V$80,$C$99:$D116)</f>
        <v>0</v>
      </c>
      <c r="W116" s="193">
        <f>DSUM($B$80:$Y$92,W$80,$C$99:$D116)</f>
        <v>0</v>
      </c>
      <c r="X116" s="193">
        <f>DSUM($B$80:$Y$92,X$80,$C$99:$D116)</f>
        <v>0</v>
      </c>
      <c r="Y116" s="193">
        <f>DSUM($B$80:$Y$92,Y$80,$C$99:$D116)</f>
        <v>90.706306278393498</v>
      </c>
      <c r="Z116" s="182"/>
      <c r="AA116" s="182"/>
      <c r="AB116" s="182"/>
      <c r="AC116" s="182"/>
    </row>
    <row r="117" spans="1:29" s="179" customFormat="1">
      <c r="A117" s="182"/>
      <c r="B117" s="182" t="s">
        <v>732</v>
      </c>
      <c r="C117" s="237" t="s">
        <v>844</v>
      </c>
      <c r="D117" s="237" t="s">
        <v>845</v>
      </c>
      <c r="E117" s="193">
        <f>DSUM($B$80:$Y$92,E$80,$C$99:$D117)</f>
        <v>15.111927336119066</v>
      </c>
      <c r="F117" s="193">
        <f>DSUM($B$80:$Y$92,F$80,$C$99:$D117)</f>
        <v>12.030336972381447</v>
      </c>
      <c r="G117" s="193">
        <f>DSUM($B$80:$Y$92,G$80,$C$99:$D117)</f>
        <v>8.9758402864864397</v>
      </c>
      <c r="H117" s="193">
        <f>DSUM($B$80:$Y$92,H$80,$C$99:$D117)</f>
        <v>5.9577196616146422</v>
      </c>
      <c r="I117" s="193">
        <f>DSUM($B$80:$Y$92,I$80,$C$99:$D117)</f>
        <v>0</v>
      </c>
      <c r="J117" s="193">
        <f>DSUM($B$80:$Y$92,J$80,$C$99:$D117)</f>
        <v>0</v>
      </c>
      <c r="K117" s="193">
        <f>DSUM($B$80:$Y$92,K$80,$C$99:$D117)</f>
        <v>0</v>
      </c>
      <c r="L117" s="193">
        <f>DSUM($B$80:$Y$92,L$80,$C$99:$D117)</f>
        <v>0</v>
      </c>
      <c r="M117" s="193">
        <f>DSUM($B$80:$Y$92,M$80,$C$99:$D117)</f>
        <v>0</v>
      </c>
      <c r="N117" s="193">
        <f>DSUM($B$80:$Y$92,N$80,$C$99:$D117)</f>
        <v>0</v>
      </c>
      <c r="O117" s="193">
        <f>DSUM($B$80:$Y$92,O$80,$C$99:$D117)</f>
        <v>0</v>
      </c>
      <c r="P117" s="193">
        <f>DSUM($B$80:$Y$92,P$80,$C$99:$D117)</f>
        <v>0</v>
      </c>
      <c r="Q117" s="193">
        <f>DSUM($B$80:$Y$92,Q$80,$C$99:$D117)</f>
        <v>0</v>
      </c>
      <c r="R117" s="193">
        <f>DSUM($B$80:$Y$92,R$80,$C$99:$D117)</f>
        <v>0</v>
      </c>
      <c r="S117" s="193">
        <f>DSUM($B$80:$Y$92,S$80,$C$99:$D117)</f>
        <v>0</v>
      </c>
      <c r="T117" s="193">
        <f>DSUM($B$80:$Y$92,T$80,$C$99:$D117)</f>
        <v>0</v>
      </c>
      <c r="U117" s="193">
        <f>DSUM($B$80:$Y$92,U$80,$C$99:$D117)</f>
        <v>0</v>
      </c>
      <c r="V117" s="193">
        <f>DSUM($B$80:$Y$92,V$80,$C$99:$D117)</f>
        <v>0</v>
      </c>
      <c r="W117" s="193">
        <f>DSUM($B$80:$Y$92,W$80,$C$99:$D117)</f>
        <v>0</v>
      </c>
      <c r="X117" s="193">
        <f>DSUM($B$80:$Y$92,X$80,$C$99:$D117)</f>
        <v>0</v>
      </c>
      <c r="Y117" s="193">
        <f>DSUM($B$80:$Y$92,Y$80,$C$99:$D117)</f>
        <v>90.706306278393498</v>
      </c>
      <c r="Z117" s="182"/>
      <c r="AA117" s="182"/>
      <c r="AB117" s="182"/>
      <c r="AC117" s="182"/>
    </row>
    <row r="118" spans="1:29" s="179" customFormat="1">
      <c r="A118" s="182"/>
      <c r="B118" s="182" t="s">
        <v>733</v>
      </c>
      <c r="C118" s="237" t="s">
        <v>846</v>
      </c>
      <c r="D118" s="237" t="s">
        <v>847</v>
      </c>
      <c r="E118" s="193">
        <f>DSUM($B$80:$Y$92,E$80,$C$99:$D118)</f>
        <v>15.111927336119066</v>
      </c>
      <c r="F118" s="193">
        <f>DSUM($B$80:$Y$92,F$80,$C$99:$D118)</f>
        <v>12.030336972381447</v>
      </c>
      <c r="G118" s="193">
        <f>DSUM($B$80:$Y$92,G$80,$C$99:$D118)</f>
        <v>8.9758402864864397</v>
      </c>
      <c r="H118" s="193">
        <f>DSUM($B$80:$Y$92,H$80,$C$99:$D118)</f>
        <v>5.9577196616146422</v>
      </c>
      <c r="I118" s="193">
        <f>DSUM($B$80:$Y$92,I$80,$C$99:$D118)</f>
        <v>0</v>
      </c>
      <c r="J118" s="193">
        <f>DSUM($B$80:$Y$92,J$80,$C$99:$D118)</f>
        <v>0</v>
      </c>
      <c r="K118" s="193">
        <f>DSUM($B$80:$Y$92,K$80,$C$99:$D118)</f>
        <v>0</v>
      </c>
      <c r="L118" s="193">
        <f>DSUM($B$80:$Y$92,L$80,$C$99:$D118)</f>
        <v>0</v>
      </c>
      <c r="M118" s="193">
        <f>DSUM($B$80:$Y$92,M$80,$C$99:$D118)</f>
        <v>0</v>
      </c>
      <c r="N118" s="193">
        <f>DSUM($B$80:$Y$92,N$80,$C$99:$D118)</f>
        <v>0</v>
      </c>
      <c r="O118" s="193">
        <f>DSUM($B$80:$Y$92,O$80,$C$99:$D118)</f>
        <v>0</v>
      </c>
      <c r="P118" s="193">
        <f>DSUM($B$80:$Y$92,P$80,$C$99:$D118)</f>
        <v>0</v>
      </c>
      <c r="Q118" s="193">
        <f>DSUM($B$80:$Y$92,Q$80,$C$99:$D118)</f>
        <v>0</v>
      </c>
      <c r="R118" s="193">
        <f>DSUM($B$80:$Y$92,R$80,$C$99:$D118)</f>
        <v>0</v>
      </c>
      <c r="S118" s="193">
        <f>DSUM($B$80:$Y$92,S$80,$C$99:$D118)</f>
        <v>0</v>
      </c>
      <c r="T118" s="193">
        <f>DSUM($B$80:$Y$92,T$80,$C$99:$D118)</f>
        <v>0</v>
      </c>
      <c r="U118" s="193">
        <f>DSUM($B$80:$Y$92,U$80,$C$99:$D118)</f>
        <v>0</v>
      </c>
      <c r="V118" s="193">
        <f>DSUM($B$80:$Y$92,V$80,$C$99:$D118)</f>
        <v>0</v>
      </c>
      <c r="W118" s="193">
        <f>DSUM($B$80:$Y$92,W$80,$C$99:$D118)</f>
        <v>0</v>
      </c>
      <c r="X118" s="193">
        <f>DSUM($B$80:$Y$92,X$80,$C$99:$D118)</f>
        <v>0</v>
      </c>
      <c r="Y118" s="193">
        <f>DSUM($B$80:$Y$92,Y$80,$C$99:$D118)</f>
        <v>90.706306278393498</v>
      </c>
      <c r="Z118" s="182"/>
      <c r="AA118" s="182"/>
      <c r="AB118" s="182"/>
      <c r="AC118" s="182"/>
    </row>
    <row r="119" spans="1:29" s="179" customFormat="1">
      <c r="A119" s="182"/>
      <c r="B119" s="182" t="s">
        <v>734</v>
      </c>
      <c r="C119" s="237" t="s">
        <v>848</v>
      </c>
      <c r="D119" s="237" t="s">
        <v>849</v>
      </c>
      <c r="E119" s="193">
        <f>DSUM($B$80:$Y$92,E$80,$C$99:$D119)</f>
        <v>15.111927336119066</v>
      </c>
      <c r="F119" s="193">
        <f>DSUM($B$80:$Y$92,F$80,$C$99:$D119)</f>
        <v>12.030336972381447</v>
      </c>
      <c r="G119" s="193">
        <f>DSUM($B$80:$Y$92,G$80,$C$99:$D119)</f>
        <v>8.9758402864864397</v>
      </c>
      <c r="H119" s="193">
        <f>DSUM($B$80:$Y$92,H$80,$C$99:$D119)</f>
        <v>5.9577196616146422</v>
      </c>
      <c r="I119" s="193">
        <f>DSUM($B$80:$Y$92,I$80,$C$99:$D119)</f>
        <v>0</v>
      </c>
      <c r="J119" s="193">
        <f>DSUM($B$80:$Y$92,J$80,$C$99:$D119)</f>
        <v>0</v>
      </c>
      <c r="K119" s="193">
        <f>DSUM($B$80:$Y$92,K$80,$C$99:$D119)</f>
        <v>0</v>
      </c>
      <c r="L119" s="193">
        <f>DSUM($B$80:$Y$92,L$80,$C$99:$D119)</f>
        <v>0</v>
      </c>
      <c r="M119" s="193">
        <f>DSUM($B$80:$Y$92,M$80,$C$99:$D119)</f>
        <v>0</v>
      </c>
      <c r="N119" s="193">
        <f>DSUM($B$80:$Y$92,N$80,$C$99:$D119)</f>
        <v>0</v>
      </c>
      <c r="O119" s="193">
        <f>DSUM($B$80:$Y$92,O$80,$C$99:$D119)</f>
        <v>0</v>
      </c>
      <c r="P119" s="193">
        <f>DSUM($B$80:$Y$92,P$80,$C$99:$D119)</f>
        <v>0</v>
      </c>
      <c r="Q119" s="193">
        <f>DSUM($B$80:$Y$92,Q$80,$C$99:$D119)</f>
        <v>0</v>
      </c>
      <c r="R119" s="193">
        <f>DSUM($B$80:$Y$92,R$80,$C$99:$D119)</f>
        <v>0</v>
      </c>
      <c r="S119" s="193">
        <f>DSUM($B$80:$Y$92,S$80,$C$99:$D119)</f>
        <v>0</v>
      </c>
      <c r="T119" s="193">
        <f>DSUM($B$80:$Y$92,T$80,$C$99:$D119)</f>
        <v>0</v>
      </c>
      <c r="U119" s="193">
        <f>DSUM($B$80:$Y$92,U$80,$C$99:$D119)</f>
        <v>0</v>
      </c>
      <c r="V119" s="193">
        <f>DSUM($B$80:$Y$92,V$80,$C$99:$D119)</f>
        <v>0</v>
      </c>
      <c r="W119" s="193">
        <f>DSUM($B$80:$Y$92,W$80,$C$99:$D119)</f>
        <v>0</v>
      </c>
      <c r="X119" s="193">
        <f>DSUM($B$80:$Y$92,X$80,$C$99:$D119)</f>
        <v>0</v>
      </c>
      <c r="Y119" s="193">
        <f>DSUM($B$80:$Y$92,Y$80,$C$99:$D119)</f>
        <v>90.706306278393498</v>
      </c>
      <c r="Z119" s="182"/>
      <c r="AA119" s="182"/>
      <c r="AB119" s="182"/>
      <c r="AC119" s="182"/>
    </row>
    <row r="120" spans="1:29" s="179" customFormat="1">
      <c r="A120" s="182"/>
      <c r="B120" s="182" t="s">
        <v>735</v>
      </c>
      <c r="C120" s="237" t="s">
        <v>850</v>
      </c>
      <c r="D120" s="237" t="s">
        <v>851</v>
      </c>
      <c r="E120" s="193">
        <f>DSUM($B$80:$Y$92,E$80,$C$99:$D120)</f>
        <v>15.111927336119066</v>
      </c>
      <c r="F120" s="193">
        <f>DSUM($B$80:$Y$92,F$80,$C$99:$D120)</f>
        <v>12.030336972381447</v>
      </c>
      <c r="G120" s="193">
        <f>DSUM($B$80:$Y$92,G$80,$C$99:$D120)</f>
        <v>8.9758402864864397</v>
      </c>
      <c r="H120" s="193">
        <f>DSUM($B$80:$Y$92,H$80,$C$99:$D120)</f>
        <v>5.9577196616146422</v>
      </c>
      <c r="I120" s="193">
        <f>DSUM($B$80:$Y$92,I$80,$C$99:$D120)</f>
        <v>0</v>
      </c>
      <c r="J120" s="193">
        <f>DSUM($B$80:$Y$92,J$80,$C$99:$D120)</f>
        <v>0</v>
      </c>
      <c r="K120" s="193">
        <f>DSUM($B$80:$Y$92,K$80,$C$99:$D120)</f>
        <v>0</v>
      </c>
      <c r="L120" s="193">
        <f>DSUM($B$80:$Y$92,L$80,$C$99:$D120)</f>
        <v>0</v>
      </c>
      <c r="M120" s="193">
        <f>DSUM($B$80:$Y$92,M$80,$C$99:$D120)</f>
        <v>0</v>
      </c>
      <c r="N120" s="193">
        <f>DSUM($B$80:$Y$92,N$80,$C$99:$D120)</f>
        <v>0</v>
      </c>
      <c r="O120" s="193">
        <f>DSUM($B$80:$Y$92,O$80,$C$99:$D120)</f>
        <v>0</v>
      </c>
      <c r="P120" s="193">
        <f>DSUM($B$80:$Y$92,P$80,$C$99:$D120)</f>
        <v>0</v>
      </c>
      <c r="Q120" s="193">
        <f>DSUM($B$80:$Y$92,Q$80,$C$99:$D120)</f>
        <v>0</v>
      </c>
      <c r="R120" s="193">
        <f>DSUM($B$80:$Y$92,R$80,$C$99:$D120)</f>
        <v>0</v>
      </c>
      <c r="S120" s="193">
        <f>DSUM($B$80:$Y$92,S$80,$C$99:$D120)</f>
        <v>0</v>
      </c>
      <c r="T120" s="193">
        <f>DSUM($B$80:$Y$92,T$80,$C$99:$D120)</f>
        <v>0</v>
      </c>
      <c r="U120" s="193">
        <f>DSUM($B$80:$Y$92,U$80,$C$99:$D120)</f>
        <v>0</v>
      </c>
      <c r="V120" s="193">
        <f>DSUM($B$80:$Y$92,V$80,$C$99:$D120)</f>
        <v>0</v>
      </c>
      <c r="W120" s="193">
        <f>DSUM($B$80:$Y$92,W$80,$C$99:$D120)</f>
        <v>0</v>
      </c>
      <c r="X120" s="193">
        <f>DSUM($B$80:$Y$92,X$80,$C$99:$D120)</f>
        <v>0</v>
      </c>
      <c r="Y120" s="193">
        <f>DSUM($B$80:$Y$92,Y$80,$C$99:$D120)</f>
        <v>90.706306278393498</v>
      </c>
      <c r="Z120" s="182"/>
      <c r="AA120" s="182"/>
      <c r="AB120" s="182"/>
      <c r="AC120" s="182"/>
    </row>
    <row r="121" spans="1:29" s="179" customFormat="1">
      <c r="A121" s="182"/>
      <c r="B121" s="182" t="s">
        <v>852</v>
      </c>
      <c r="C121" s="237" t="s">
        <v>853</v>
      </c>
      <c r="D121" s="237" t="s">
        <v>854</v>
      </c>
      <c r="E121" s="193">
        <f>DSUM($B$80:$Y$92,E$80,$C$99:$D121)</f>
        <v>15.111927336119066</v>
      </c>
      <c r="F121" s="193">
        <f>DSUM($B$80:$Y$92,F$80,$C$99:$D121)</f>
        <v>12.030336972381447</v>
      </c>
      <c r="G121" s="193">
        <f>DSUM($B$80:$Y$92,G$80,$C$99:$D121)</f>
        <v>8.9758402864864397</v>
      </c>
      <c r="H121" s="193">
        <f>DSUM($B$80:$Y$92,H$80,$C$99:$D121)</f>
        <v>5.9577196616146422</v>
      </c>
      <c r="I121" s="193">
        <f>DSUM($B$80:$Y$92,I$80,$C$99:$D121)</f>
        <v>0</v>
      </c>
      <c r="J121" s="193">
        <f>DSUM($B$80:$Y$92,J$80,$C$99:$D121)</f>
        <v>0</v>
      </c>
      <c r="K121" s="193">
        <f>DSUM($B$80:$Y$92,K$80,$C$99:$D121)</f>
        <v>0</v>
      </c>
      <c r="L121" s="193">
        <f>DSUM($B$80:$Y$92,L$80,$C$99:$D121)</f>
        <v>0</v>
      </c>
      <c r="M121" s="193">
        <f>DSUM($B$80:$Y$92,M$80,$C$99:$D121)</f>
        <v>0</v>
      </c>
      <c r="N121" s="193">
        <f>DSUM($B$80:$Y$92,N$80,$C$99:$D121)</f>
        <v>0</v>
      </c>
      <c r="O121" s="193">
        <f>DSUM($B$80:$Y$92,O$80,$C$99:$D121)</f>
        <v>0</v>
      </c>
      <c r="P121" s="193">
        <f>DSUM($B$80:$Y$92,P$80,$C$99:$D121)</f>
        <v>0</v>
      </c>
      <c r="Q121" s="193">
        <f>DSUM($B$80:$Y$92,Q$80,$C$99:$D121)</f>
        <v>0</v>
      </c>
      <c r="R121" s="193">
        <f>DSUM($B$80:$Y$92,R$80,$C$99:$D121)</f>
        <v>0</v>
      </c>
      <c r="S121" s="193">
        <f>DSUM($B$80:$Y$92,S$80,$C$99:$D121)</f>
        <v>0</v>
      </c>
      <c r="T121" s="193">
        <f>DSUM($B$80:$Y$92,T$80,$C$99:$D121)</f>
        <v>0</v>
      </c>
      <c r="U121" s="193">
        <f>DSUM($B$80:$Y$92,U$80,$C$99:$D121)</f>
        <v>0</v>
      </c>
      <c r="V121" s="193">
        <f>DSUM($B$80:$Y$92,V$80,$C$99:$D121)</f>
        <v>0</v>
      </c>
      <c r="W121" s="193">
        <f>DSUM($B$80:$Y$92,W$80,$C$99:$D121)</f>
        <v>0</v>
      </c>
      <c r="X121" s="193">
        <f>DSUM($B$80:$Y$92,X$80,$C$99:$D121)</f>
        <v>0</v>
      </c>
      <c r="Y121" s="193">
        <f>DSUM($B$80:$Y$92,Y$80,$C$99:$D121)</f>
        <v>90.706306278393498</v>
      </c>
      <c r="Z121" s="182"/>
      <c r="AA121" s="182"/>
      <c r="AB121" s="182"/>
      <c r="AC121" s="182"/>
    </row>
    <row r="122" spans="1:29" s="179" customFormat="1">
      <c r="A122" s="182"/>
      <c r="B122" s="182" t="s">
        <v>855</v>
      </c>
      <c r="C122" s="237" t="s">
        <v>856</v>
      </c>
      <c r="D122" s="237" t="s">
        <v>857</v>
      </c>
      <c r="E122" s="193">
        <f>DSUM($B$80:$Y$92,E$80,$C$99:$D122)</f>
        <v>15.111927336119066</v>
      </c>
      <c r="F122" s="193">
        <f>DSUM($B$80:$Y$92,F$80,$C$99:$D122)</f>
        <v>12.030336972381447</v>
      </c>
      <c r="G122" s="193">
        <f>DSUM($B$80:$Y$92,G$80,$C$99:$D122)</f>
        <v>8.9758402864864397</v>
      </c>
      <c r="H122" s="193">
        <f>DSUM($B$80:$Y$92,H$80,$C$99:$D122)</f>
        <v>5.9577196616146422</v>
      </c>
      <c r="I122" s="193">
        <f>DSUM($B$80:$Y$92,I$80,$C$99:$D122)</f>
        <v>0</v>
      </c>
      <c r="J122" s="193">
        <f>DSUM($B$80:$Y$92,J$80,$C$99:$D122)</f>
        <v>0</v>
      </c>
      <c r="K122" s="193">
        <f>DSUM($B$80:$Y$92,K$80,$C$99:$D122)</f>
        <v>0</v>
      </c>
      <c r="L122" s="193">
        <f>DSUM($B$80:$Y$92,L$80,$C$99:$D122)</f>
        <v>0</v>
      </c>
      <c r="M122" s="193">
        <f>DSUM($B$80:$Y$92,M$80,$C$99:$D122)</f>
        <v>0</v>
      </c>
      <c r="N122" s="193">
        <f>DSUM($B$80:$Y$92,N$80,$C$99:$D122)</f>
        <v>0</v>
      </c>
      <c r="O122" s="193">
        <f>DSUM($B$80:$Y$92,O$80,$C$99:$D122)</f>
        <v>0</v>
      </c>
      <c r="P122" s="193">
        <f>DSUM($B$80:$Y$92,P$80,$C$99:$D122)</f>
        <v>0</v>
      </c>
      <c r="Q122" s="193">
        <f>DSUM($B$80:$Y$92,Q$80,$C$99:$D122)</f>
        <v>0</v>
      </c>
      <c r="R122" s="193">
        <f>DSUM($B$80:$Y$92,R$80,$C$99:$D122)</f>
        <v>0</v>
      </c>
      <c r="S122" s="193">
        <f>DSUM($B$80:$Y$92,S$80,$C$99:$D122)</f>
        <v>0</v>
      </c>
      <c r="T122" s="193">
        <f>DSUM($B$80:$Y$92,T$80,$C$99:$D122)</f>
        <v>0</v>
      </c>
      <c r="U122" s="193">
        <f>DSUM($B$80:$Y$92,U$80,$C$99:$D122)</f>
        <v>0</v>
      </c>
      <c r="V122" s="193">
        <f>DSUM($B$80:$Y$92,V$80,$C$99:$D122)</f>
        <v>0</v>
      </c>
      <c r="W122" s="193">
        <f>DSUM($B$80:$Y$92,W$80,$C$99:$D122)</f>
        <v>0</v>
      </c>
      <c r="X122" s="193">
        <f>DSUM($B$80:$Y$92,X$80,$C$99:$D122)</f>
        <v>0</v>
      </c>
      <c r="Y122" s="193">
        <f>DSUM($B$80:$Y$92,Y$80,$C$99:$D122)</f>
        <v>90.706306278393498</v>
      </c>
      <c r="Z122" s="182"/>
      <c r="AA122" s="182"/>
      <c r="AB122" s="182"/>
      <c r="AC122" s="182"/>
    </row>
    <row r="123" spans="1:29" s="179" customFormat="1">
      <c r="A123" s="182"/>
      <c r="B123" s="182" t="s">
        <v>858</v>
      </c>
      <c r="C123" s="237" t="s">
        <v>859</v>
      </c>
      <c r="D123" s="237" t="s">
        <v>860</v>
      </c>
      <c r="E123" s="193">
        <f>DSUM($B$80:$Y$92,E$80,$C$99:$D123)</f>
        <v>15.111927336119066</v>
      </c>
      <c r="F123" s="193">
        <f>DSUM($B$80:$Y$92,F$80,$C$99:$D123)</f>
        <v>12.030336972381447</v>
      </c>
      <c r="G123" s="193">
        <f>DSUM($B$80:$Y$92,G$80,$C$99:$D123)</f>
        <v>8.9758402864864397</v>
      </c>
      <c r="H123" s="193">
        <f>DSUM($B$80:$Y$92,H$80,$C$99:$D123)</f>
        <v>5.9577196616146422</v>
      </c>
      <c r="I123" s="193">
        <f>DSUM($B$80:$Y$92,I$80,$C$99:$D123)</f>
        <v>0</v>
      </c>
      <c r="J123" s="193">
        <f>DSUM($B$80:$Y$92,J$80,$C$99:$D123)</f>
        <v>0</v>
      </c>
      <c r="K123" s="193">
        <f>DSUM($B$80:$Y$92,K$80,$C$99:$D123)</f>
        <v>0</v>
      </c>
      <c r="L123" s="193">
        <f>DSUM($B$80:$Y$92,L$80,$C$99:$D123)</f>
        <v>0</v>
      </c>
      <c r="M123" s="193">
        <f>DSUM($B$80:$Y$92,M$80,$C$99:$D123)</f>
        <v>0</v>
      </c>
      <c r="N123" s="193">
        <f>DSUM($B$80:$Y$92,N$80,$C$99:$D123)</f>
        <v>0</v>
      </c>
      <c r="O123" s="193">
        <f>DSUM($B$80:$Y$92,O$80,$C$99:$D123)</f>
        <v>0</v>
      </c>
      <c r="P123" s="193">
        <f>DSUM($B$80:$Y$92,P$80,$C$99:$D123)</f>
        <v>0</v>
      </c>
      <c r="Q123" s="193">
        <f>DSUM($B$80:$Y$92,Q$80,$C$99:$D123)</f>
        <v>0</v>
      </c>
      <c r="R123" s="193">
        <f>DSUM($B$80:$Y$92,R$80,$C$99:$D123)</f>
        <v>0</v>
      </c>
      <c r="S123" s="193">
        <f>DSUM($B$80:$Y$92,S$80,$C$99:$D123)</f>
        <v>0</v>
      </c>
      <c r="T123" s="193">
        <f>DSUM($B$80:$Y$92,T$80,$C$99:$D123)</f>
        <v>0</v>
      </c>
      <c r="U123" s="193">
        <f>DSUM($B$80:$Y$92,U$80,$C$99:$D123)</f>
        <v>0</v>
      </c>
      <c r="V123" s="193">
        <f>DSUM($B$80:$Y$92,V$80,$C$99:$D123)</f>
        <v>0</v>
      </c>
      <c r="W123" s="193">
        <f>DSUM($B$80:$Y$92,W$80,$C$99:$D123)</f>
        <v>0</v>
      </c>
      <c r="X123" s="193">
        <f>DSUM($B$80:$Y$92,X$80,$C$99:$D123)</f>
        <v>0</v>
      </c>
      <c r="Y123" s="193">
        <f>DSUM($B$80:$Y$92,Y$80,$C$99:$D123)</f>
        <v>90.706306278393498</v>
      </c>
      <c r="Z123" s="182"/>
      <c r="AA123" s="182"/>
      <c r="AB123" s="182"/>
      <c r="AC123" s="182"/>
    </row>
    <row r="124" spans="1:29" s="179" customFormat="1">
      <c r="A124" s="182"/>
      <c r="B124" s="182" t="s">
        <v>861</v>
      </c>
      <c r="C124" s="237" t="s">
        <v>862</v>
      </c>
      <c r="D124" s="237" t="s">
        <v>863</v>
      </c>
      <c r="E124" s="193">
        <f>DSUM($B$80:$Y$92,E$80,$C$99:$D124)</f>
        <v>15.111927336119066</v>
      </c>
      <c r="F124" s="193">
        <f>DSUM($B$80:$Y$92,F$80,$C$99:$D124)</f>
        <v>12.030336972381447</v>
      </c>
      <c r="G124" s="193">
        <f>DSUM($B$80:$Y$92,G$80,$C$99:$D124)</f>
        <v>8.9758402864864397</v>
      </c>
      <c r="H124" s="193">
        <f>DSUM($B$80:$Y$92,H$80,$C$99:$D124)</f>
        <v>5.9577196616146422</v>
      </c>
      <c r="I124" s="193">
        <f>DSUM($B$80:$Y$92,I$80,$C$99:$D124)</f>
        <v>0</v>
      </c>
      <c r="J124" s="193">
        <f>DSUM($B$80:$Y$92,J$80,$C$99:$D124)</f>
        <v>0</v>
      </c>
      <c r="K124" s="193">
        <f>DSUM($B$80:$Y$92,K$80,$C$99:$D124)</f>
        <v>0</v>
      </c>
      <c r="L124" s="193">
        <f>DSUM($B$80:$Y$92,L$80,$C$99:$D124)</f>
        <v>0</v>
      </c>
      <c r="M124" s="193">
        <f>DSUM($B$80:$Y$92,M$80,$C$99:$D124)</f>
        <v>0</v>
      </c>
      <c r="N124" s="193">
        <f>DSUM($B$80:$Y$92,N$80,$C$99:$D124)</f>
        <v>0</v>
      </c>
      <c r="O124" s="193">
        <f>DSUM($B$80:$Y$92,O$80,$C$99:$D124)</f>
        <v>0</v>
      </c>
      <c r="P124" s="193">
        <f>DSUM($B$80:$Y$92,P$80,$C$99:$D124)</f>
        <v>0</v>
      </c>
      <c r="Q124" s="193">
        <f>DSUM($B$80:$Y$92,Q$80,$C$99:$D124)</f>
        <v>0</v>
      </c>
      <c r="R124" s="193">
        <f>DSUM($B$80:$Y$92,R$80,$C$99:$D124)</f>
        <v>0</v>
      </c>
      <c r="S124" s="193">
        <f>DSUM($B$80:$Y$92,S$80,$C$99:$D124)</f>
        <v>0</v>
      </c>
      <c r="T124" s="193">
        <f>DSUM($B$80:$Y$92,T$80,$C$99:$D124)</f>
        <v>0</v>
      </c>
      <c r="U124" s="193">
        <f>DSUM($B$80:$Y$92,U$80,$C$99:$D124)</f>
        <v>0</v>
      </c>
      <c r="V124" s="193">
        <f>DSUM($B$80:$Y$92,V$80,$C$99:$D124)</f>
        <v>0</v>
      </c>
      <c r="W124" s="193">
        <f>DSUM($B$80:$Y$92,W$80,$C$99:$D124)</f>
        <v>0</v>
      </c>
      <c r="X124" s="193">
        <f>DSUM($B$80:$Y$92,X$80,$C$99:$D124)</f>
        <v>0</v>
      </c>
      <c r="Y124" s="193">
        <f>DSUM($B$80:$Y$92,Y$80,$C$99:$D124)</f>
        <v>90.706306278393498</v>
      </c>
      <c r="Z124" s="182"/>
      <c r="AA124" s="182"/>
      <c r="AB124" s="182"/>
      <c r="AC124" s="182"/>
    </row>
    <row r="125" spans="1:29" s="179" customFormat="1">
      <c r="A125" s="182"/>
      <c r="B125" s="182" t="s">
        <v>864</v>
      </c>
      <c r="C125" s="237" t="s">
        <v>865</v>
      </c>
      <c r="D125" s="237" t="s">
        <v>866</v>
      </c>
      <c r="E125" s="193">
        <f>DSUM($B$80:$Y$92,E$80,$C$99:$D125)</f>
        <v>15.111927336119066</v>
      </c>
      <c r="F125" s="193">
        <f>DSUM($B$80:$Y$92,F$80,$C$99:$D125)</f>
        <v>12.030336972381447</v>
      </c>
      <c r="G125" s="193">
        <f>DSUM($B$80:$Y$92,G$80,$C$99:$D125)</f>
        <v>8.9758402864864397</v>
      </c>
      <c r="H125" s="193">
        <f>DSUM($B$80:$Y$92,H$80,$C$99:$D125)</f>
        <v>5.9577196616146422</v>
      </c>
      <c r="I125" s="193">
        <f>DSUM($B$80:$Y$92,I$80,$C$99:$D125)</f>
        <v>0</v>
      </c>
      <c r="J125" s="193">
        <f>DSUM($B$80:$Y$92,J$80,$C$99:$D125)</f>
        <v>0</v>
      </c>
      <c r="K125" s="193">
        <f>DSUM($B$80:$Y$92,K$80,$C$99:$D125)</f>
        <v>0</v>
      </c>
      <c r="L125" s="193">
        <f>DSUM($B$80:$Y$92,L$80,$C$99:$D125)</f>
        <v>0</v>
      </c>
      <c r="M125" s="193">
        <f>DSUM($B$80:$Y$92,M$80,$C$99:$D125)</f>
        <v>0</v>
      </c>
      <c r="N125" s="193">
        <f>DSUM($B$80:$Y$92,N$80,$C$99:$D125)</f>
        <v>0</v>
      </c>
      <c r="O125" s="193">
        <f>DSUM($B$80:$Y$92,O$80,$C$99:$D125)</f>
        <v>0</v>
      </c>
      <c r="P125" s="193">
        <f>DSUM($B$80:$Y$92,P$80,$C$99:$D125)</f>
        <v>0</v>
      </c>
      <c r="Q125" s="193">
        <f>DSUM($B$80:$Y$92,Q$80,$C$99:$D125)</f>
        <v>0</v>
      </c>
      <c r="R125" s="193">
        <f>DSUM($B$80:$Y$92,R$80,$C$99:$D125)</f>
        <v>0</v>
      </c>
      <c r="S125" s="193">
        <f>DSUM($B$80:$Y$92,S$80,$C$99:$D125)</f>
        <v>0</v>
      </c>
      <c r="T125" s="193">
        <f>DSUM($B$80:$Y$92,T$80,$C$99:$D125)</f>
        <v>0</v>
      </c>
      <c r="U125" s="193">
        <f>DSUM($B$80:$Y$92,U$80,$C$99:$D125)</f>
        <v>0</v>
      </c>
      <c r="V125" s="193">
        <f>DSUM($B$80:$Y$92,V$80,$C$99:$D125)</f>
        <v>0</v>
      </c>
      <c r="W125" s="193">
        <f>DSUM($B$80:$Y$92,W$80,$C$99:$D125)</f>
        <v>0</v>
      </c>
      <c r="X125" s="193">
        <f>DSUM($B$80:$Y$92,X$80,$C$99:$D125)</f>
        <v>0</v>
      </c>
      <c r="Y125" s="193">
        <f>DSUM($B$80:$Y$92,Y$80,$C$99:$D125)</f>
        <v>90.706306278393498</v>
      </c>
      <c r="Z125" s="182"/>
      <c r="AA125" s="182"/>
      <c r="AB125" s="182"/>
      <c r="AC125" s="182"/>
    </row>
    <row r="126" spans="1:29" s="179" customFormat="1">
      <c r="A126" s="182"/>
      <c r="B126" s="182" t="s">
        <v>867</v>
      </c>
      <c r="C126" s="237" t="s">
        <v>868</v>
      </c>
      <c r="D126" s="237" t="s">
        <v>869</v>
      </c>
      <c r="E126" s="193">
        <f>DSUM($B$80:$Y$92,E$80,$C$99:$D126)</f>
        <v>15.111927336119066</v>
      </c>
      <c r="F126" s="193">
        <f>DSUM($B$80:$Y$92,F$80,$C$99:$D126)</f>
        <v>12.030336972381447</v>
      </c>
      <c r="G126" s="193">
        <f>DSUM($B$80:$Y$92,G$80,$C$99:$D126)</f>
        <v>8.9758402864864397</v>
      </c>
      <c r="H126" s="193">
        <f>DSUM($B$80:$Y$92,H$80,$C$99:$D126)</f>
        <v>5.9577196616146422</v>
      </c>
      <c r="I126" s="193">
        <f>DSUM($B$80:$Y$92,I$80,$C$99:$D126)</f>
        <v>0</v>
      </c>
      <c r="J126" s="193">
        <f>DSUM($B$80:$Y$92,J$80,$C$99:$D126)</f>
        <v>0</v>
      </c>
      <c r="K126" s="193">
        <f>DSUM($B$80:$Y$92,K$80,$C$99:$D126)</f>
        <v>0</v>
      </c>
      <c r="L126" s="193">
        <f>DSUM($B$80:$Y$92,L$80,$C$99:$D126)</f>
        <v>0</v>
      </c>
      <c r="M126" s="193">
        <f>DSUM($B$80:$Y$92,M$80,$C$99:$D126)</f>
        <v>0</v>
      </c>
      <c r="N126" s="193">
        <f>DSUM($B$80:$Y$92,N$80,$C$99:$D126)</f>
        <v>0</v>
      </c>
      <c r="O126" s="193">
        <f>DSUM($B$80:$Y$92,O$80,$C$99:$D126)</f>
        <v>0</v>
      </c>
      <c r="P126" s="193">
        <f>DSUM($B$80:$Y$92,P$80,$C$99:$D126)</f>
        <v>0</v>
      </c>
      <c r="Q126" s="193">
        <f>DSUM($B$80:$Y$92,Q$80,$C$99:$D126)</f>
        <v>0</v>
      </c>
      <c r="R126" s="193">
        <f>DSUM($B$80:$Y$92,R$80,$C$99:$D126)</f>
        <v>0</v>
      </c>
      <c r="S126" s="193">
        <f>DSUM($B$80:$Y$92,S$80,$C$99:$D126)</f>
        <v>0</v>
      </c>
      <c r="T126" s="193">
        <f>DSUM($B$80:$Y$92,T$80,$C$99:$D126)</f>
        <v>0</v>
      </c>
      <c r="U126" s="193">
        <f>DSUM($B$80:$Y$92,U$80,$C$99:$D126)</f>
        <v>0</v>
      </c>
      <c r="V126" s="193">
        <f>DSUM($B$80:$Y$92,V$80,$C$99:$D126)</f>
        <v>0</v>
      </c>
      <c r="W126" s="193">
        <f>DSUM($B$80:$Y$92,W$80,$C$99:$D126)</f>
        <v>0</v>
      </c>
      <c r="X126" s="193">
        <f>DSUM($B$80:$Y$92,X$80,$C$99:$D126)</f>
        <v>0</v>
      </c>
      <c r="Y126" s="193">
        <f>DSUM($B$80:$Y$92,Y$80,$C$99:$D126)</f>
        <v>90.706306278393498</v>
      </c>
      <c r="Z126" s="182"/>
      <c r="AA126" s="182"/>
      <c r="AB126" s="182"/>
      <c r="AC126" s="182"/>
    </row>
    <row r="127" spans="1:29" s="179" customFormat="1">
      <c r="A127" s="182"/>
      <c r="B127" s="182" t="s">
        <v>870</v>
      </c>
      <c r="C127" s="237" t="s">
        <v>871</v>
      </c>
      <c r="D127" s="237" t="s">
        <v>872</v>
      </c>
      <c r="E127" s="193">
        <f>DSUM($B$80:$Y$92,E$80,$C$99:$D127)</f>
        <v>15.111927336119066</v>
      </c>
      <c r="F127" s="193">
        <f>DSUM($B$80:$Y$92,F$80,$C$99:$D127)</f>
        <v>12.030336972381447</v>
      </c>
      <c r="G127" s="193">
        <f>DSUM($B$80:$Y$92,G$80,$C$99:$D127)</f>
        <v>8.9758402864864397</v>
      </c>
      <c r="H127" s="193">
        <f>DSUM($B$80:$Y$92,H$80,$C$99:$D127)</f>
        <v>5.9577196616146422</v>
      </c>
      <c r="I127" s="193">
        <f>DSUM($B$80:$Y$92,I$80,$C$99:$D127)</f>
        <v>0</v>
      </c>
      <c r="J127" s="193">
        <f>DSUM($B$80:$Y$92,J$80,$C$99:$D127)</f>
        <v>0</v>
      </c>
      <c r="K127" s="193">
        <f>DSUM($B$80:$Y$92,K$80,$C$99:$D127)</f>
        <v>0</v>
      </c>
      <c r="L127" s="193">
        <f>DSUM($B$80:$Y$92,L$80,$C$99:$D127)</f>
        <v>0</v>
      </c>
      <c r="M127" s="193">
        <f>DSUM($B$80:$Y$92,M$80,$C$99:$D127)</f>
        <v>0</v>
      </c>
      <c r="N127" s="193">
        <f>DSUM($B$80:$Y$92,N$80,$C$99:$D127)</f>
        <v>0</v>
      </c>
      <c r="O127" s="193">
        <f>DSUM($B$80:$Y$92,O$80,$C$99:$D127)</f>
        <v>0</v>
      </c>
      <c r="P127" s="193">
        <f>DSUM($B$80:$Y$92,P$80,$C$99:$D127)</f>
        <v>0</v>
      </c>
      <c r="Q127" s="193">
        <f>DSUM($B$80:$Y$92,Q$80,$C$99:$D127)</f>
        <v>0</v>
      </c>
      <c r="R127" s="193">
        <f>DSUM($B$80:$Y$92,R$80,$C$99:$D127)</f>
        <v>0</v>
      </c>
      <c r="S127" s="193">
        <f>DSUM($B$80:$Y$92,S$80,$C$99:$D127)</f>
        <v>0</v>
      </c>
      <c r="T127" s="193">
        <f>DSUM($B$80:$Y$92,T$80,$C$99:$D127)</f>
        <v>0</v>
      </c>
      <c r="U127" s="193">
        <f>DSUM($B$80:$Y$92,U$80,$C$99:$D127)</f>
        <v>0</v>
      </c>
      <c r="V127" s="193">
        <f>DSUM($B$80:$Y$92,V$80,$C$99:$D127)</f>
        <v>0</v>
      </c>
      <c r="W127" s="193">
        <f>DSUM($B$80:$Y$92,W$80,$C$99:$D127)</f>
        <v>0</v>
      </c>
      <c r="X127" s="193">
        <f>DSUM($B$80:$Y$92,X$80,$C$99:$D127)</f>
        <v>0</v>
      </c>
      <c r="Y127" s="193">
        <f>DSUM($B$80:$Y$92,Y$80,$C$99:$D127)</f>
        <v>90.706306278393498</v>
      </c>
      <c r="Z127" s="182"/>
      <c r="AA127" s="182"/>
      <c r="AB127" s="182"/>
      <c r="AC127" s="182"/>
    </row>
    <row r="128" spans="1:29" s="179" customFormat="1">
      <c r="A128" s="182"/>
      <c r="B128" s="182" t="s">
        <v>873</v>
      </c>
      <c r="C128" s="237" t="s">
        <v>874</v>
      </c>
      <c r="D128" s="237" t="s">
        <v>875</v>
      </c>
      <c r="E128" s="193">
        <f>DSUM($B$80:$Y$92,E$80,$C$99:$D128)</f>
        <v>15.111927336119066</v>
      </c>
      <c r="F128" s="193">
        <f>DSUM($B$80:$Y$92,F$80,$C$99:$D128)</f>
        <v>12.030336972381447</v>
      </c>
      <c r="G128" s="193">
        <f>DSUM($B$80:$Y$92,G$80,$C$99:$D128)</f>
        <v>8.9758402864864397</v>
      </c>
      <c r="H128" s="193">
        <f>DSUM($B$80:$Y$92,H$80,$C$99:$D128)</f>
        <v>5.9577196616146422</v>
      </c>
      <c r="I128" s="193">
        <f>DSUM($B$80:$Y$92,I$80,$C$99:$D128)</f>
        <v>0</v>
      </c>
      <c r="J128" s="193">
        <f>DSUM($B$80:$Y$92,J$80,$C$99:$D128)</f>
        <v>0</v>
      </c>
      <c r="K128" s="193">
        <f>DSUM($B$80:$Y$92,K$80,$C$99:$D128)</f>
        <v>0</v>
      </c>
      <c r="L128" s="193">
        <f>DSUM($B$80:$Y$92,L$80,$C$99:$D128)</f>
        <v>0</v>
      </c>
      <c r="M128" s="193">
        <f>DSUM($B$80:$Y$92,M$80,$C$99:$D128)</f>
        <v>0</v>
      </c>
      <c r="N128" s="193">
        <f>DSUM($B$80:$Y$92,N$80,$C$99:$D128)</f>
        <v>0</v>
      </c>
      <c r="O128" s="193">
        <f>DSUM($B$80:$Y$92,O$80,$C$99:$D128)</f>
        <v>0</v>
      </c>
      <c r="P128" s="193">
        <f>DSUM($B$80:$Y$92,P$80,$C$99:$D128)</f>
        <v>0</v>
      </c>
      <c r="Q128" s="193">
        <f>DSUM($B$80:$Y$92,Q$80,$C$99:$D128)</f>
        <v>0</v>
      </c>
      <c r="R128" s="193">
        <f>DSUM($B$80:$Y$92,R$80,$C$99:$D128)</f>
        <v>0</v>
      </c>
      <c r="S128" s="193">
        <f>DSUM($B$80:$Y$92,S$80,$C$99:$D128)</f>
        <v>0</v>
      </c>
      <c r="T128" s="193">
        <f>DSUM($B$80:$Y$92,T$80,$C$99:$D128)</f>
        <v>0</v>
      </c>
      <c r="U128" s="193">
        <f>DSUM($B$80:$Y$92,U$80,$C$99:$D128)</f>
        <v>0</v>
      </c>
      <c r="V128" s="193">
        <f>DSUM($B$80:$Y$92,V$80,$C$99:$D128)</f>
        <v>0</v>
      </c>
      <c r="W128" s="193">
        <f>DSUM($B$80:$Y$92,W$80,$C$99:$D128)</f>
        <v>0</v>
      </c>
      <c r="X128" s="193">
        <f>DSUM($B$80:$Y$92,X$80,$C$99:$D128)</f>
        <v>0</v>
      </c>
      <c r="Y128" s="193">
        <f>DSUM($B$80:$Y$92,Y$80,$C$99:$D128)</f>
        <v>90.706306278393498</v>
      </c>
      <c r="Z128" s="182"/>
      <c r="AA128" s="182"/>
      <c r="AB128" s="182"/>
      <c r="AC128" s="182"/>
    </row>
    <row r="129" spans="1:29" s="179" customFormat="1">
      <c r="A129" s="182"/>
      <c r="B129" s="182" t="s">
        <v>876</v>
      </c>
      <c r="C129" s="237" t="s">
        <v>877</v>
      </c>
      <c r="D129" s="237" t="s">
        <v>878</v>
      </c>
      <c r="E129" s="193">
        <f>DSUM($B$80:$Y$92,E$80,$C$99:$D129)</f>
        <v>15.111927336119066</v>
      </c>
      <c r="F129" s="193">
        <f>DSUM($B$80:$Y$92,F$80,$C$99:$D129)</f>
        <v>12.030336972381447</v>
      </c>
      <c r="G129" s="193">
        <f>DSUM($B$80:$Y$92,G$80,$C$99:$D129)</f>
        <v>8.9758402864864397</v>
      </c>
      <c r="H129" s="193">
        <f>DSUM($B$80:$Y$92,H$80,$C$99:$D129)</f>
        <v>5.9577196616146422</v>
      </c>
      <c r="I129" s="193">
        <f>DSUM($B$80:$Y$92,I$80,$C$99:$D129)</f>
        <v>0</v>
      </c>
      <c r="J129" s="193">
        <f>DSUM($B$80:$Y$92,J$80,$C$99:$D129)</f>
        <v>0</v>
      </c>
      <c r="K129" s="193">
        <f>DSUM($B$80:$Y$92,K$80,$C$99:$D129)</f>
        <v>0</v>
      </c>
      <c r="L129" s="193">
        <f>DSUM($B$80:$Y$92,L$80,$C$99:$D129)</f>
        <v>0</v>
      </c>
      <c r="M129" s="193">
        <f>DSUM($B$80:$Y$92,M$80,$C$99:$D129)</f>
        <v>0</v>
      </c>
      <c r="N129" s="193">
        <f>DSUM($B$80:$Y$92,N$80,$C$99:$D129)</f>
        <v>0</v>
      </c>
      <c r="O129" s="193">
        <f>DSUM($B$80:$Y$92,O$80,$C$99:$D129)</f>
        <v>0</v>
      </c>
      <c r="P129" s="193">
        <f>DSUM($B$80:$Y$92,P$80,$C$99:$D129)</f>
        <v>0</v>
      </c>
      <c r="Q129" s="193">
        <f>DSUM($B$80:$Y$92,Q$80,$C$99:$D129)</f>
        <v>0</v>
      </c>
      <c r="R129" s="193">
        <f>DSUM($B$80:$Y$92,R$80,$C$99:$D129)</f>
        <v>0</v>
      </c>
      <c r="S129" s="193">
        <f>DSUM($B$80:$Y$92,S$80,$C$99:$D129)</f>
        <v>0</v>
      </c>
      <c r="T129" s="193">
        <f>DSUM($B$80:$Y$92,T$80,$C$99:$D129)</f>
        <v>0</v>
      </c>
      <c r="U129" s="193">
        <f>DSUM($B$80:$Y$92,U$80,$C$99:$D129)</f>
        <v>0</v>
      </c>
      <c r="V129" s="193">
        <f>DSUM($B$80:$Y$92,V$80,$C$99:$D129)</f>
        <v>0</v>
      </c>
      <c r="W129" s="193">
        <f>DSUM($B$80:$Y$92,W$80,$C$99:$D129)</f>
        <v>0</v>
      </c>
      <c r="X129" s="193">
        <f>DSUM($B$80:$Y$92,X$80,$C$99:$D129)</f>
        <v>0</v>
      </c>
      <c r="Y129" s="193">
        <f>DSUM($B$80:$Y$92,Y$80,$C$99:$D129)</f>
        <v>90.706306278393498</v>
      </c>
      <c r="Z129" s="182"/>
      <c r="AA129" s="182"/>
      <c r="AB129" s="182"/>
      <c r="AC129" s="182"/>
    </row>
    <row r="130" spans="1:29" s="179" customFormat="1">
      <c r="A130" s="182"/>
      <c r="B130" s="182" t="s">
        <v>879</v>
      </c>
      <c r="C130" s="237" t="s">
        <v>880</v>
      </c>
      <c r="D130" s="237" t="s">
        <v>881</v>
      </c>
      <c r="E130" s="193">
        <f>DSUM($B$80:$Y$92,E$80,$C$99:$D130)</f>
        <v>15.111927336119066</v>
      </c>
      <c r="F130" s="193">
        <f>DSUM($B$80:$Y$92,F$80,$C$99:$D130)</f>
        <v>12.030336972381447</v>
      </c>
      <c r="G130" s="193">
        <f>DSUM($B$80:$Y$92,G$80,$C$99:$D130)</f>
        <v>8.9758402864864397</v>
      </c>
      <c r="H130" s="193">
        <f>DSUM($B$80:$Y$92,H$80,$C$99:$D130)</f>
        <v>5.9577196616146422</v>
      </c>
      <c r="I130" s="193">
        <f>DSUM($B$80:$Y$92,I$80,$C$99:$D130)</f>
        <v>0</v>
      </c>
      <c r="J130" s="193">
        <f>DSUM($B$80:$Y$92,J$80,$C$99:$D130)</f>
        <v>0</v>
      </c>
      <c r="K130" s="193">
        <f>DSUM($B$80:$Y$92,K$80,$C$99:$D130)</f>
        <v>0</v>
      </c>
      <c r="L130" s="193">
        <f>DSUM($B$80:$Y$92,L$80,$C$99:$D130)</f>
        <v>0</v>
      </c>
      <c r="M130" s="193">
        <f>DSUM($B$80:$Y$92,M$80,$C$99:$D130)</f>
        <v>0</v>
      </c>
      <c r="N130" s="193">
        <f>DSUM($B$80:$Y$92,N$80,$C$99:$D130)</f>
        <v>0</v>
      </c>
      <c r="O130" s="193">
        <f>DSUM($B$80:$Y$92,O$80,$C$99:$D130)</f>
        <v>0</v>
      </c>
      <c r="P130" s="193">
        <f>DSUM($B$80:$Y$92,P$80,$C$99:$D130)</f>
        <v>0</v>
      </c>
      <c r="Q130" s="193">
        <f>DSUM($B$80:$Y$92,Q$80,$C$99:$D130)</f>
        <v>0</v>
      </c>
      <c r="R130" s="193">
        <f>DSUM($B$80:$Y$92,R$80,$C$99:$D130)</f>
        <v>0</v>
      </c>
      <c r="S130" s="193">
        <f>DSUM($B$80:$Y$92,S$80,$C$99:$D130)</f>
        <v>0</v>
      </c>
      <c r="T130" s="193">
        <f>DSUM($B$80:$Y$92,T$80,$C$99:$D130)</f>
        <v>0</v>
      </c>
      <c r="U130" s="193">
        <f>DSUM($B$80:$Y$92,U$80,$C$99:$D130)</f>
        <v>0</v>
      </c>
      <c r="V130" s="193">
        <f>DSUM($B$80:$Y$92,V$80,$C$99:$D130)</f>
        <v>0</v>
      </c>
      <c r="W130" s="193">
        <f>DSUM($B$80:$Y$92,W$80,$C$99:$D130)</f>
        <v>0</v>
      </c>
      <c r="X130" s="193">
        <f>DSUM($B$80:$Y$92,X$80,$C$99:$D130)</f>
        <v>0</v>
      </c>
      <c r="Y130" s="193">
        <f>DSUM($B$80:$Y$92,Y$80,$C$99:$D130)</f>
        <v>90.706306278393498</v>
      </c>
      <c r="Z130" s="182"/>
      <c r="AA130" s="182"/>
      <c r="AB130" s="182"/>
      <c r="AC130" s="182"/>
    </row>
    <row r="131" spans="1:29" s="179" customFormat="1">
      <c r="A131" s="182"/>
      <c r="B131" s="182" t="s">
        <v>882</v>
      </c>
      <c r="C131" s="237" t="s">
        <v>883</v>
      </c>
      <c r="D131" s="237" t="s">
        <v>884</v>
      </c>
      <c r="E131" s="193">
        <f>DSUM($B$80:$Y$92,E$80,$C$99:$D131)</f>
        <v>14.792328134119147</v>
      </c>
      <c r="F131" s="193">
        <f>DSUM($B$80:$Y$92,F$80,$C$99:$D131)</f>
        <v>11.775909723583501</v>
      </c>
      <c r="G131" s="193">
        <f>DSUM($B$80:$Y$92,G$80,$C$99:$D131)</f>
        <v>8.7860119919853563</v>
      </c>
      <c r="H131" s="193">
        <f>DSUM($B$80:$Y$92,H$80,$C$99:$D131)</f>
        <v>5.8317210111949622</v>
      </c>
      <c r="I131" s="193">
        <f>DSUM($B$80:$Y$92,I$80,$C$99:$D131)</f>
        <v>0</v>
      </c>
      <c r="J131" s="193">
        <f>DSUM($B$80:$Y$92,J$80,$C$99:$D131)</f>
        <v>0</v>
      </c>
      <c r="K131" s="193">
        <f>DSUM($B$80:$Y$92,K$80,$C$99:$D131)</f>
        <v>0</v>
      </c>
      <c r="L131" s="193">
        <f>DSUM($B$80:$Y$92,L$80,$C$99:$D131)</f>
        <v>0</v>
      </c>
      <c r="M131" s="193">
        <f>DSUM($B$80:$Y$92,M$80,$C$99:$D131)</f>
        <v>0</v>
      </c>
      <c r="N131" s="193">
        <f>DSUM($B$80:$Y$92,N$80,$C$99:$D131)</f>
        <v>0</v>
      </c>
      <c r="O131" s="193">
        <f>DSUM($B$80:$Y$92,O$80,$C$99:$D131)</f>
        <v>0</v>
      </c>
      <c r="P131" s="193">
        <f>DSUM($B$80:$Y$92,P$80,$C$99:$D131)</f>
        <v>0</v>
      </c>
      <c r="Q131" s="193">
        <f>DSUM($B$80:$Y$92,Q$80,$C$99:$D131)</f>
        <v>0</v>
      </c>
      <c r="R131" s="193">
        <f>DSUM($B$80:$Y$92,R$80,$C$99:$D131)</f>
        <v>0</v>
      </c>
      <c r="S131" s="193">
        <f>DSUM($B$80:$Y$92,S$80,$C$99:$D131)</f>
        <v>0</v>
      </c>
      <c r="T131" s="193">
        <f>DSUM($B$80:$Y$92,T$80,$C$99:$D131)</f>
        <v>0</v>
      </c>
      <c r="U131" s="193">
        <f>DSUM($B$80:$Y$92,U$80,$C$99:$D131)</f>
        <v>0</v>
      </c>
      <c r="V131" s="193">
        <f>DSUM($B$80:$Y$92,V$80,$C$99:$D131)</f>
        <v>0</v>
      </c>
      <c r="W131" s="193">
        <f>DSUM($B$80:$Y$92,W$80,$C$99:$D131)</f>
        <v>0</v>
      </c>
      <c r="X131" s="193">
        <f>DSUM($B$80:$Y$92,X$80,$C$99:$D131)</f>
        <v>0</v>
      </c>
      <c r="Y131" s="193">
        <f>DSUM($B$80:$Y$92,Y$80,$C$99:$D131)</f>
        <v>88.787976309081984</v>
      </c>
      <c r="Z131" s="182"/>
      <c r="AA131" s="182"/>
      <c r="AB131" s="182"/>
      <c r="AC131" s="182"/>
    </row>
    <row r="132" spans="1:29" s="179" customFormat="1">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row>
    <row r="133" spans="1:29" s="179" customFormat="1">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row>
    <row r="134" spans="1:29" s="179" customFormat="1" ht="15">
      <c r="A134" s="211" t="s">
        <v>885</v>
      </c>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row>
    <row r="135" spans="1:29" s="179" customFormat="1" ht="15">
      <c r="A135" s="182"/>
      <c r="B135" s="182"/>
      <c r="C135" s="182"/>
      <c r="D135" s="231" t="str">
        <f>C8</f>
        <v>Lighting</v>
      </c>
      <c r="E135" s="212">
        <f t="shared" ref="E135:X135" si="39">E11</f>
        <v>2016</v>
      </c>
      <c r="F135" s="213">
        <f t="shared" si="39"/>
        <v>2017</v>
      </c>
      <c r="G135" s="213">
        <f t="shared" si="39"/>
        <v>2018</v>
      </c>
      <c r="H135" s="213">
        <f t="shared" si="39"/>
        <v>2019</v>
      </c>
      <c r="I135" s="213">
        <f t="shared" si="39"/>
        <v>2020</v>
      </c>
      <c r="J135" s="213">
        <f t="shared" si="39"/>
        <v>2021</v>
      </c>
      <c r="K135" s="213">
        <f t="shared" si="39"/>
        <v>2022</v>
      </c>
      <c r="L135" s="213">
        <f t="shared" si="39"/>
        <v>2023</v>
      </c>
      <c r="M135" s="213">
        <f t="shared" si="39"/>
        <v>2024</v>
      </c>
      <c r="N135" s="213">
        <f t="shared" si="39"/>
        <v>2025</v>
      </c>
      <c r="O135" s="213">
        <f t="shared" si="39"/>
        <v>2026</v>
      </c>
      <c r="P135" s="213">
        <f t="shared" si="39"/>
        <v>2027</v>
      </c>
      <c r="Q135" s="213">
        <f t="shared" si="39"/>
        <v>2028</v>
      </c>
      <c r="R135" s="213">
        <f t="shared" si="39"/>
        <v>2029</v>
      </c>
      <c r="S135" s="213">
        <f t="shared" si="39"/>
        <v>2030</v>
      </c>
      <c r="T135" s="213">
        <f t="shared" si="39"/>
        <v>2031</v>
      </c>
      <c r="U135" s="213">
        <f t="shared" si="39"/>
        <v>2032</v>
      </c>
      <c r="V135" s="213">
        <f t="shared" si="39"/>
        <v>2033</v>
      </c>
      <c r="W135" s="213">
        <f t="shared" si="39"/>
        <v>2034</v>
      </c>
      <c r="X135" s="213">
        <f t="shared" si="39"/>
        <v>2035</v>
      </c>
      <c r="Y135" s="214" t="s">
        <v>795</v>
      </c>
      <c r="Z135" s="182"/>
      <c r="AA135" s="182"/>
      <c r="AB135" s="182"/>
      <c r="AC135" s="182"/>
    </row>
    <row r="136" spans="1:29" s="179" customFormat="1" ht="15">
      <c r="A136" s="182"/>
      <c r="B136" s="182"/>
      <c r="C136" s="182"/>
      <c r="D136" s="182" t="str">
        <f>C8</f>
        <v>Lighting</v>
      </c>
      <c r="E136" s="215" t="str">
        <f t="shared" ref="E136:X136" si="40">CONCATENATE("Units_",E$11)</f>
        <v>Units_2016</v>
      </c>
      <c r="F136" s="216" t="str">
        <f t="shared" si="40"/>
        <v>Units_2017</v>
      </c>
      <c r="G136" s="216" t="str">
        <f t="shared" si="40"/>
        <v>Units_2018</v>
      </c>
      <c r="H136" s="216" t="str">
        <f t="shared" si="40"/>
        <v>Units_2019</v>
      </c>
      <c r="I136" s="216" t="str">
        <f t="shared" si="40"/>
        <v>Units_2020</v>
      </c>
      <c r="J136" s="216" t="str">
        <f t="shared" si="40"/>
        <v>Units_2021</v>
      </c>
      <c r="K136" s="216" t="str">
        <f t="shared" si="40"/>
        <v>Units_2022</v>
      </c>
      <c r="L136" s="216" t="str">
        <f t="shared" si="40"/>
        <v>Units_2023</v>
      </c>
      <c r="M136" s="216" t="str">
        <f t="shared" si="40"/>
        <v>Units_2024</v>
      </c>
      <c r="N136" s="216" t="str">
        <f t="shared" si="40"/>
        <v>Units_2025</v>
      </c>
      <c r="O136" s="216" t="str">
        <f t="shared" si="40"/>
        <v>Units_2026</v>
      </c>
      <c r="P136" s="216" t="str">
        <f t="shared" si="40"/>
        <v>Units_2027</v>
      </c>
      <c r="Q136" s="216" t="str">
        <f t="shared" si="40"/>
        <v>Units_2028</v>
      </c>
      <c r="R136" s="216" t="str">
        <f t="shared" si="40"/>
        <v>Units_2029</v>
      </c>
      <c r="S136" s="216" t="str">
        <f t="shared" si="40"/>
        <v>Units_2030</v>
      </c>
      <c r="T136" s="216" t="str">
        <f t="shared" si="40"/>
        <v>Units_2031</v>
      </c>
      <c r="U136" s="216" t="str">
        <f t="shared" si="40"/>
        <v>Units_2032</v>
      </c>
      <c r="V136" s="216" t="str">
        <f t="shared" si="40"/>
        <v>Units_2033</v>
      </c>
      <c r="W136" s="216" t="str">
        <f t="shared" si="40"/>
        <v>Units_2034</v>
      </c>
      <c r="X136" s="216" t="str">
        <f t="shared" si="40"/>
        <v>Units_2035</v>
      </c>
      <c r="Y136" s="217" t="s">
        <v>795</v>
      </c>
      <c r="Z136" s="182"/>
      <c r="AA136" s="182"/>
      <c r="AB136" s="182"/>
      <c r="AC136" s="182"/>
    </row>
    <row r="137" spans="1:29" s="179" customFormat="1">
      <c r="A137" s="182"/>
      <c r="B137" s="182"/>
      <c r="C137" s="182"/>
      <c r="D137" s="182" t="s">
        <v>715</v>
      </c>
      <c r="E137" s="193">
        <f t="shared" ref="E137:Y137" si="41">E100</f>
        <v>15.111927336119066</v>
      </c>
      <c r="F137" s="193">
        <f t="shared" si="41"/>
        <v>12.030336972381447</v>
      </c>
      <c r="G137" s="193">
        <f t="shared" si="41"/>
        <v>8.9758402864864397</v>
      </c>
      <c r="H137" s="193">
        <f t="shared" si="41"/>
        <v>5.9577196616146422</v>
      </c>
      <c r="I137" s="193">
        <f t="shared" si="41"/>
        <v>0</v>
      </c>
      <c r="J137" s="193">
        <f t="shared" si="41"/>
        <v>0</v>
      </c>
      <c r="K137" s="193">
        <f t="shared" si="41"/>
        <v>0</v>
      </c>
      <c r="L137" s="193">
        <f t="shared" si="41"/>
        <v>0</v>
      </c>
      <c r="M137" s="193">
        <f t="shared" si="41"/>
        <v>0</v>
      </c>
      <c r="N137" s="193">
        <f t="shared" si="41"/>
        <v>0</v>
      </c>
      <c r="O137" s="193">
        <f t="shared" si="41"/>
        <v>0</v>
      </c>
      <c r="P137" s="193">
        <f t="shared" si="41"/>
        <v>0</v>
      </c>
      <c r="Q137" s="193">
        <f t="shared" si="41"/>
        <v>0</v>
      </c>
      <c r="R137" s="193">
        <f t="shared" si="41"/>
        <v>0</v>
      </c>
      <c r="S137" s="193">
        <f t="shared" si="41"/>
        <v>0</v>
      </c>
      <c r="T137" s="193">
        <f t="shared" si="41"/>
        <v>0</v>
      </c>
      <c r="U137" s="193">
        <f t="shared" si="41"/>
        <v>0</v>
      </c>
      <c r="V137" s="193">
        <f t="shared" si="41"/>
        <v>0</v>
      </c>
      <c r="W137" s="193">
        <f t="shared" si="41"/>
        <v>0</v>
      </c>
      <c r="X137" s="193">
        <f t="shared" si="41"/>
        <v>0</v>
      </c>
      <c r="Y137" s="193">
        <f t="shared" si="41"/>
        <v>90.706306278393498</v>
      </c>
      <c r="Z137" s="182"/>
      <c r="AA137" s="182"/>
      <c r="AB137" s="182"/>
      <c r="AC137" s="182"/>
    </row>
    <row r="138" spans="1:29" s="179" customFormat="1">
      <c r="A138" s="182"/>
      <c r="B138" s="182"/>
      <c r="C138" s="182"/>
      <c r="D138" s="182" t="s">
        <v>716</v>
      </c>
      <c r="E138" s="193">
        <f t="shared" ref="E138:Y150" si="42">E101-E100</f>
        <v>0</v>
      </c>
      <c r="F138" s="193">
        <f t="shared" si="42"/>
        <v>0</v>
      </c>
      <c r="G138" s="193">
        <f t="shared" si="42"/>
        <v>0</v>
      </c>
      <c r="H138" s="193">
        <f t="shared" si="42"/>
        <v>0</v>
      </c>
      <c r="I138" s="193">
        <f t="shared" si="42"/>
        <v>0</v>
      </c>
      <c r="J138" s="193">
        <f t="shared" si="42"/>
        <v>0</v>
      </c>
      <c r="K138" s="193">
        <f t="shared" si="42"/>
        <v>0</v>
      </c>
      <c r="L138" s="193">
        <f t="shared" si="42"/>
        <v>0</v>
      </c>
      <c r="M138" s="193">
        <f t="shared" si="42"/>
        <v>0</v>
      </c>
      <c r="N138" s="193">
        <f t="shared" si="42"/>
        <v>0</v>
      </c>
      <c r="O138" s="193">
        <f t="shared" si="42"/>
        <v>0</v>
      </c>
      <c r="P138" s="193">
        <f t="shared" si="42"/>
        <v>0</v>
      </c>
      <c r="Q138" s="193">
        <f t="shared" si="42"/>
        <v>0</v>
      </c>
      <c r="R138" s="193">
        <f t="shared" si="42"/>
        <v>0</v>
      </c>
      <c r="S138" s="193">
        <f t="shared" si="42"/>
        <v>0</v>
      </c>
      <c r="T138" s="193">
        <f t="shared" si="42"/>
        <v>0</v>
      </c>
      <c r="U138" s="193">
        <f t="shared" si="42"/>
        <v>0</v>
      </c>
      <c r="V138" s="193">
        <f t="shared" si="42"/>
        <v>0</v>
      </c>
      <c r="W138" s="193">
        <f t="shared" si="42"/>
        <v>0</v>
      </c>
      <c r="X138" s="193">
        <f t="shared" si="42"/>
        <v>0</v>
      </c>
      <c r="Y138" s="193">
        <f t="shared" si="42"/>
        <v>0</v>
      </c>
      <c r="Z138" s="182"/>
      <c r="AA138" s="182"/>
      <c r="AB138" s="182"/>
      <c r="AC138" s="182"/>
    </row>
    <row r="139" spans="1:29" s="179" customFormat="1">
      <c r="A139" s="182"/>
      <c r="B139" s="182"/>
      <c r="C139" s="182"/>
      <c r="D139" s="182" t="s">
        <v>717</v>
      </c>
      <c r="E139" s="193">
        <f t="shared" si="42"/>
        <v>0</v>
      </c>
      <c r="F139" s="193">
        <f t="shared" si="42"/>
        <v>0</v>
      </c>
      <c r="G139" s="193">
        <f t="shared" si="42"/>
        <v>0</v>
      </c>
      <c r="H139" s="193">
        <f t="shared" si="42"/>
        <v>0</v>
      </c>
      <c r="I139" s="193">
        <f t="shared" si="42"/>
        <v>0</v>
      </c>
      <c r="J139" s="193">
        <f t="shared" si="42"/>
        <v>0</v>
      </c>
      <c r="K139" s="193">
        <f t="shared" si="42"/>
        <v>0</v>
      </c>
      <c r="L139" s="193">
        <f t="shared" si="42"/>
        <v>0</v>
      </c>
      <c r="M139" s="193">
        <f t="shared" si="42"/>
        <v>0</v>
      </c>
      <c r="N139" s="193">
        <f t="shared" si="42"/>
        <v>0</v>
      </c>
      <c r="O139" s="193">
        <f t="shared" si="42"/>
        <v>0</v>
      </c>
      <c r="P139" s="193">
        <f t="shared" si="42"/>
        <v>0</v>
      </c>
      <c r="Q139" s="193">
        <f t="shared" si="42"/>
        <v>0</v>
      </c>
      <c r="R139" s="193">
        <f t="shared" si="42"/>
        <v>0</v>
      </c>
      <c r="S139" s="193">
        <f t="shared" si="42"/>
        <v>0</v>
      </c>
      <c r="T139" s="193">
        <f t="shared" si="42"/>
        <v>0</v>
      </c>
      <c r="U139" s="193">
        <f t="shared" si="42"/>
        <v>0</v>
      </c>
      <c r="V139" s="193">
        <f t="shared" si="42"/>
        <v>0</v>
      </c>
      <c r="W139" s="193">
        <f t="shared" si="42"/>
        <v>0</v>
      </c>
      <c r="X139" s="193">
        <f t="shared" si="42"/>
        <v>0</v>
      </c>
      <c r="Y139" s="193">
        <f t="shared" si="42"/>
        <v>0</v>
      </c>
      <c r="Z139" s="182"/>
      <c r="AA139" s="182"/>
      <c r="AB139" s="182"/>
      <c r="AC139" s="182"/>
    </row>
    <row r="140" spans="1:29" s="179" customFormat="1">
      <c r="A140" s="182"/>
      <c r="B140" s="182"/>
      <c r="C140" s="182"/>
      <c r="D140" s="182" t="s">
        <v>718</v>
      </c>
      <c r="E140" s="193">
        <f t="shared" si="42"/>
        <v>0</v>
      </c>
      <c r="F140" s="193">
        <f t="shared" si="42"/>
        <v>0</v>
      </c>
      <c r="G140" s="193">
        <f t="shared" si="42"/>
        <v>0</v>
      </c>
      <c r="H140" s="193">
        <f t="shared" si="42"/>
        <v>0</v>
      </c>
      <c r="I140" s="193">
        <f t="shared" si="42"/>
        <v>0</v>
      </c>
      <c r="J140" s="193">
        <f t="shared" si="42"/>
        <v>0</v>
      </c>
      <c r="K140" s="193">
        <f t="shared" si="42"/>
        <v>0</v>
      </c>
      <c r="L140" s="193">
        <f t="shared" si="42"/>
        <v>0</v>
      </c>
      <c r="M140" s="193">
        <f t="shared" si="42"/>
        <v>0</v>
      </c>
      <c r="N140" s="193">
        <f t="shared" si="42"/>
        <v>0</v>
      </c>
      <c r="O140" s="193">
        <f t="shared" si="42"/>
        <v>0</v>
      </c>
      <c r="P140" s="193">
        <f t="shared" si="42"/>
        <v>0</v>
      </c>
      <c r="Q140" s="193">
        <f t="shared" si="42"/>
        <v>0</v>
      </c>
      <c r="R140" s="193">
        <f t="shared" si="42"/>
        <v>0</v>
      </c>
      <c r="S140" s="193">
        <f t="shared" si="42"/>
        <v>0</v>
      </c>
      <c r="T140" s="193">
        <f t="shared" si="42"/>
        <v>0</v>
      </c>
      <c r="U140" s="193">
        <f t="shared" si="42"/>
        <v>0</v>
      </c>
      <c r="V140" s="193">
        <f t="shared" si="42"/>
        <v>0</v>
      </c>
      <c r="W140" s="193">
        <f t="shared" si="42"/>
        <v>0</v>
      </c>
      <c r="X140" s="193">
        <f t="shared" si="42"/>
        <v>0</v>
      </c>
      <c r="Y140" s="193">
        <f t="shared" si="42"/>
        <v>0</v>
      </c>
      <c r="Z140" s="182"/>
      <c r="AA140" s="182"/>
      <c r="AB140" s="182"/>
      <c r="AC140" s="182"/>
    </row>
    <row r="141" spans="1:29" s="179" customFormat="1">
      <c r="A141" s="182"/>
      <c r="B141" s="182"/>
      <c r="C141" s="182"/>
      <c r="D141" s="182" t="s">
        <v>719</v>
      </c>
      <c r="E141" s="193">
        <f t="shared" si="42"/>
        <v>0</v>
      </c>
      <c r="F141" s="193">
        <f t="shared" si="42"/>
        <v>0</v>
      </c>
      <c r="G141" s="193">
        <f t="shared" si="42"/>
        <v>0</v>
      </c>
      <c r="H141" s="193">
        <f t="shared" si="42"/>
        <v>0</v>
      </c>
      <c r="I141" s="193">
        <f t="shared" si="42"/>
        <v>0</v>
      </c>
      <c r="J141" s="193">
        <f t="shared" si="42"/>
        <v>0</v>
      </c>
      <c r="K141" s="193">
        <f t="shared" si="42"/>
        <v>0</v>
      </c>
      <c r="L141" s="193">
        <f t="shared" si="42"/>
        <v>0</v>
      </c>
      <c r="M141" s="193">
        <f t="shared" si="42"/>
        <v>0</v>
      </c>
      <c r="N141" s="193">
        <f t="shared" si="42"/>
        <v>0</v>
      </c>
      <c r="O141" s="193">
        <f t="shared" si="42"/>
        <v>0</v>
      </c>
      <c r="P141" s="193">
        <f t="shared" si="42"/>
        <v>0</v>
      </c>
      <c r="Q141" s="193">
        <f t="shared" si="42"/>
        <v>0</v>
      </c>
      <c r="R141" s="193">
        <f t="shared" si="42"/>
        <v>0</v>
      </c>
      <c r="S141" s="193">
        <f t="shared" si="42"/>
        <v>0</v>
      </c>
      <c r="T141" s="193">
        <f t="shared" si="42"/>
        <v>0</v>
      </c>
      <c r="U141" s="193">
        <f t="shared" si="42"/>
        <v>0</v>
      </c>
      <c r="V141" s="193">
        <f t="shared" si="42"/>
        <v>0</v>
      </c>
      <c r="W141" s="193">
        <f t="shared" si="42"/>
        <v>0</v>
      </c>
      <c r="X141" s="193">
        <f t="shared" si="42"/>
        <v>0</v>
      </c>
      <c r="Y141" s="193">
        <f t="shared" si="42"/>
        <v>0</v>
      </c>
      <c r="Z141" s="182"/>
      <c r="AA141" s="182"/>
      <c r="AB141" s="182"/>
      <c r="AC141" s="182"/>
    </row>
    <row r="142" spans="1:29" s="179" customFormat="1">
      <c r="A142" s="182"/>
      <c r="B142" s="182"/>
      <c r="C142" s="182"/>
      <c r="D142" s="182" t="s">
        <v>720</v>
      </c>
      <c r="E142" s="193">
        <f t="shared" si="42"/>
        <v>0</v>
      </c>
      <c r="F142" s="193">
        <f>F105-F104</f>
        <v>0</v>
      </c>
      <c r="G142" s="193">
        <f t="shared" si="42"/>
        <v>0</v>
      </c>
      <c r="H142" s="193">
        <f t="shared" si="42"/>
        <v>0</v>
      </c>
      <c r="I142" s="193">
        <f t="shared" si="42"/>
        <v>0</v>
      </c>
      <c r="J142" s="193">
        <f t="shared" si="42"/>
        <v>0</v>
      </c>
      <c r="K142" s="193">
        <f t="shared" si="42"/>
        <v>0</v>
      </c>
      <c r="L142" s="193">
        <f t="shared" si="42"/>
        <v>0</v>
      </c>
      <c r="M142" s="193">
        <f t="shared" si="42"/>
        <v>0</v>
      </c>
      <c r="N142" s="193">
        <f t="shared" si="42"/>
        <v>0</v>
      </c>
      <c r="O142" s="193">
        <f t="shared" si="42"/>
        <v>0</v>
      </c>
      <c r="P142" s="193">
        <f t="shared" si="42"/>
        <v>0</v>
      </c>
      <c r="Q142" s="193">
        <f t="shared" si="42"/>
        <v>0</v>
      </c>
      <c r="R142" s="193">
        <f t="shared" si="42"/>
        <v>0</v>
      </c>
      <c r="S142" s="193">
        <f t="shared" si="42"/>
        <v>0</v>
      </c>
      <c r="T142" s="193">
        <f t="shared" si="42"/>
        <v>0</v>
      </c>
      <c r="U142" s="193">
        <f t="shared" si="42"/>
        <v>0</v>
      </c>
      <c r="V142" s="193">
        <f t="shared" si="42"/>
        <v>0</v>
      </c>
      <c r="W142" s="193">
        <f t="shared" si="42"/>
        <v>0</v>
      </c>
      <c r="X142" s="193">
        <f t="shared" si="42"/>
        <v>0</v>
      </c>
      <c r="Y142" s="193">
        <f t="shared" si="42"/>
        <v>0</v>
      </c>
      <c r="Z142" s="182"/>
      <c r="AA142" s="182"/>
      <c r="AB142" s="182"/>
      <c r="AC142" s="182"/>
    </row>
    <row r="143" spans="1:29" s="179" customFormat="1">
      <c r="A143" s="182"/>
      <c r="B143" s="182"/>
      <c r="C143" s="182"/>
      <c r="D143" s="182" t="s">
        <v>721</v>
      </c>
      <c r="E143" s="193">
        <f t="shared" si="42"/>
        <v>0</v>
      </c>
      <c r="F143" s="193">
        <f t="shared" si="42"/>
        <v>0</v>
      </c>
      <c r="G143" s="193">
        <f t="shared" si="42"/>
        <v>0</v>
      </c>
      <c r="H143" s="193">
        <f t="shared" si="42"/>
        <v>0</v>
      </c>
      <c r="I143" s="193">
        <f t="shared" si="42"/>
        <v>0</v>
      </c>
      <c r="J143" s="193">
        <f t="shared" si="42"/>
        <v>0</v>
      </c>
      <c r="K143" s="193">
        <f t="shared" si="42"/>
        <v>0</v>
      </c>
      <c r="L143" s="193">
        <f t="shared" si="42"/>
        <v>0</v>
      </c>
      <c r="M143" s="193">
        <f t="shared" si="42"/>
        <v>0</v>
      </c>
      <c r="N143" s="193">
        <f t="shared" si="42"/>
        <v>0</v>
      </c>
      <c r="O143" s="193">
        <f t="shared" si="42"/>
        <v>0</v>
      </c>
      <c r="P143" s="193">
        <f t="shared" si="42"/>
        <v>0</v>
      </c>
      <c r="Q143" s="193">
        <f t="shared" si="42"/>
        <v>0</v>
      </c>
      <c r="R143" s="193">
        <f t="shared" si="42"/>
        <v>0</v>
      </c>
      <c r="S143" s="193">
        <f t="shared" si="42"/>
        <v>0</v>
      </c>
      <c r="T143" s="193">
        <f t="shared" si="42"/>
        <v>0</v>
      </c>
      <c r="U143" s="193">
        <f t="shared" si="42"/>
        <v>0</v>
      </c>
      <c r="V143" s="193">
        <f t="shared" si="42"/>
        <v>0</v>
      </c>
      <c r="W143" s="193">
        <f t="shared" si="42"/>
        <v>0</v>
      </c>
      <c r="X143" s="193">
        <f t="shared" si="42"/>
        <v>0</v>
      </c>
      <c r="Y143" s="193">
        <f>Y106-Y105</f>
        <v>0</v>
      </c>
      <c r="Z143" s="182"/>
      <c r="AA143" s="182"/>
      <c r="AB143" s="182"/>
      <c r="AC143" s="182"/>
    </row>
    <row r="144" spans="1:29" s="179" customFormat="1">
      <c r="A144" s="182"/>
      <c r="B144" s="182"/>
      <c r="C144" s="182"/>
      <c r="D144" s="182" t="s">
        <v>722</v>
      </c>
      <c r="E144" s="193">
        <f t="shared" si="42"/>
        <v>0</v>
      </c>
      <c r="F144" s="193">
        <f t="shared" si="42"/>
        <v>0</v>
      </c>
      <c r="G144" s="193">
        <f t="shared" si="42"/>
        <v>0</v>
      </c>
      <c r="H144" s="193">
        <f t="shared" si="42"/>
        <v>0</v>
      </c>
      <c r="I144" s="193">
        <f t="shared" si="42"/>
        <v>0</v>
      </c>
      <c r="J144" s="193">
        <f t="shared" si="42"/>
        <v>0</v>
      </c>
      <c r="K144" s="193">
        <f t="shared" si="42"/>
        <v>0</v>
      </c>
      <c r="L144" s="193">
        <f t="shared" si="42"/>
        <v>0</v>
      </c>
      <c r="M144" s="193">
        <f t="shared" si="42"/>
        <v>0</v>
      </c>
      <c r="N144" s="193">
        <f t="shared" si="42"/>
        <v>0</v>
      </c>
      <c r="O144" s="193">
        <f t="shared" si="42"/>
        <v>0</v>
      </c>
      <c r="P144" s="193">
        <f t="shared" si="42"/>
        <v>0</v>
      </c>
      <c r="Q144" s="193">
        <f t="shared" si="42"/>
        <v>0</v>
      </c>
      <c r="R144" s="193">
        <f t="shared" si="42"/>
        <v>0</v>
      </c>
      <c r="S144" s="193">
        <f t="shared" si="42"/>
        <v>0</v>
      </c>
      <c r="T144" s="193">
        <f t="shared" si="42"/>
        <v>0</v>
      </c>
      <c r="U144" s="193">
        <f t="shared" si="42"/>
        <v>0</v>
      </c>
      <c r="V144" s="193">
        <f t="shared" si="42"/>
        <v>0</v>
      </c>
      <c r="W144" s="193">
        <f t="shared" si="42"/>
        <v>0</v>
      </c>
      <c r="X144" s="193">
        <f t="shared" si="42"/>
        <v>0</v>
      </c>
      <c r="Y144" s="193">
        <f t="shared" si="42"/>
        <v>0</v>
      </c>
      <c r="Z144" s="182"/>
      <c r="AA144" s="182"/>
      <c r="AB144" s="182"/>
      <c r="AC144" s="182"/>
    </row>
    <row r="145" spans="1:29" s="179" customFormat="1">
      <c r="A145" s="182"/>
      <c r="B145" s="182"/>
      <c r="C145" s="182"/>
      <c r="D145" s="182" t="s">
        <v>723</v>
      </c>
      <c r="E145" s="193">
        <f t="shared" si="42"/>
        <v>0</v>
      </c>
      <c r="F145" s="193">
        <f t="shared" si="42"/>
        <v>0</v>
      </c>
      <c r="G145" s="193">
        <f t="shared" si="42"/>
        <v>0</v>
      </c>
      <c r="H145" s="193">
        <f t="shared" si="42"/>
        <v>0</v>
      </c>
      <c r="I145" s="193">
        <f t="shared" si="42"/>
        <v>0</v>
      </c>
      <c r="J145" s="193">
        <f t="shared" si="42"/>
        <v>0</v>
      </c>
      <c r="K145" s="193">
        <f t="shared" si="42"/>
        <v>0</v>
      </c>
      <c r="L145" s="193">
        <f t="shared" si="42"/>
        <v>0</v>
      </c>
      <c r="M145" s="193">
        <f t="shared" si="42"/>
        <v>0</v>
      </c>
      <c r="N145" s="193">
        <f t="shared" si="42"/>
        <v>0</v>
      </c>
      <c r="O145" s="193">
        <f t="shared" si="42"/>
        <v>0</v>
      </c>
      <c r="P145" s="193">
        <f t="shared" si="42"/>
        <v>0</v>
      </c>
      <c r="Q145" s="193">
        <f t="shared" si="42"/>
        <v>0</v>
      </c>
      <c r="R145" s="193">
        <f t="shared" si="42"/>
        <v>0</v>
      </c>
      <c r="S145" s="193">
        <f t="shared" si="42"/>
        <v>0</v>
      </c>
      <c r="T145" s="193">
        <f t="shared" si="42"/>
        <v>0</v>
      </c>
      <c r="U145" s="193">
        <f t="shared" si="42"/>
        <v>0</v>
      </c>
      <c r="V145" s="193">
        <f t="shared" si="42"/>
        <v>0</v>
      </c>
      <c r="W145" s="193">
        <f t="shared" si="42"/>
        <v>0</v>
      </c>
      <c r="X145" s="193">
        <f t="shared" si="42"/>
        <v>0</v>
      </c>
      <c r="Y145" s="193">
        <f t="shared" si="42"/>
        <v>0</v>
      </c>
      <c r="Z145" s="182"/>
      <c r="AA145" s="182"/>
      <c r="AB145" s="182"/>
      <c r="AC145" s="182"/>
    </row>
    <row r="146" spans="1:29" s="179" customFormat="1">
      <c r="A146" s="182"/>
      <c r="B146" s="182"/>
      <c r="C146" s="182"/>
      <c r="D146" s="182" t="s">
        <v>724</v>
      </c>
      <c r="E146" s="193">
        <f t="shared" si="42"/>
        <v>0</v>
      </c>
      <c r="F146" s="193">
        <f t="shared" si="42"/>
        <v>0</v>
      </c>
      <c r="G146" s="193">
        <f t="shared" si="42"/>
        <v>0</v>
      </c>
      <c r="H146" s="193">
        <f t="shared" si="42"/>
        <v>0</v>
      </c>
      <c r="I146" s="193">
        <f t="shared" si="42"/>
        <v>0</v>
      </c>
      <c r="J146" s="193">
        <f t="shared" si="42"/>
        <v>0</v>
      </c>
      <c r="K146" s="193">
        <f t="shared" si="42"/>
        <v>0</v>
      </c>
      <c r="L146" s="193">
        <f t="shared" si="42"/>
        <v>0</v>
      </c>
      <c r="M146" s="193">
        <f t="shared" si="42"/>
        <v>0</v>
      </c>
      <c r="N146" s="193">
        <f t="shared" si="42"/>
        <v>0</v>
      </c>
      <c r="O146" s="193">
        <f t="shared" si="42"/>
        <v>0</v>
      </c>
      <c r="P146" s="193">
        <f t="shared" si="42"/>
        <v>0</v>
      </c>
      <c r="Q146" s="193">
        <f t="shared" si="42"/>
        <v>0</v>
      </c>
      <c r="R146" s="193">
        <f t="shared" si="42"/>
        <v>0</v>
      </c>
      <c r="S146" s="193">
        <f t="shared" si="42"/>
        <v>0</v>
      </c>
      <c r="T146" s="193">
        <f t="shared" si="42"/>
        <v>0</v>
      </c>
      <c r="U146" s="193">
        <f t="shared" si="42"/>
        <v>0</v>
      </c>
      <c r="V146" s="193">
        <f t="shared" si="42"/>
        <v>0</v>
      </c>
      <c r="W146" s="193">
        <f t="shared" si="42"/>
        <v>0</v>
      </c>
      <c r="X146" s="193">
        <f t="shared" si="42"/>
        <v>0</v>
      </c>
      <c r="Y146" s="193">
        <f t="shared" si="42"/>
        <v>0</v>
      </c>
      <c r="Z146" s="182"/>
      <c r="AA146" s="182"/>
      <c r="AB146" s="182"/>
      <c r="AC146" s="182"/>
    </row>
    <row r="147" spans="1:29" s="179" customFormat="1">
      <c r="A147" s="182"/>
      <c r="B147" s="182"/>
      <c r="C147" s="182"/>
      <c r="D147" s="182" t="s">
        <v>725</v>
      </c>
      <c r="E147" s="193">
        <f t="shared" si="42"/>
        <v>0</v>
      </c>
      <c r="F147" s="193">
        <f t="shared" si="42"/>
        <v>0</v>
      </c>
      <c r="G147" s="193">
        <f t="shared" si="42"/>
        <v>0</v>
      </c>
      <c r="H147" s="193">
        <f t="shared" si="42"/>
        <v>0</v>
      </c>
      <c r="I147" s="193">
        <f t="shared" si="42"/>
        <v>0</v>
      </c>
      <c r="J147" s="193">
        <f t="shared" si="42"/>
        <v>0</v>
      </c>
      <c r="K147" s="193">
        <f t="shared" si="42"/>
        <v>0</v>
      </c>
      <c r="L147" s="193">
        <f t="shared" si="42"/>
        <v>0</v>
      </c>
      <c r="M147" s="193">
        <f t="shared" si="42"/>
        <v>0</v>
      </c>
      <c r="N147" s="193">
        <f t="shared" si="42"/>
        <v>0</v>
      </c>
      <c r="O147" s="193">
        <f t="shared" si="42"/>
        <v>0</v>
      </c>
      <c r="P147" s="193">
        <f t="shared" si="42"/>
        <v>0</v>
      </c>
      <c r="Q147" s="193">
        <f t="shared" si="42"/>
        <v>0</v>
      </c>
      <c r="R147" s="193">
        <f t="shared" si="42"/>
        <v>0</v>
      </c>
      <c r="S147" s="193">
        <f t="shared" si="42"/>
        <v>0</v>
      </c>
      <c r="T147" s="193">
        <f t="shared" si="42"/>
        <v>0</v>
      </c>
      <c r="U147" s="193">
        <f t="shared" si="42"/>
        <v>0</v>
      </c>
      <c r="V147" s="193">
        <f t="shared" si="42"/>
        <v>0</v>
      </c>
      <c r="W147" s="193">
        <f t="shared" si="42"/>
        <v>0</v>
      </c>
      <c r="X147" s="193">
        <f t="shared" si="42"/>
        <v>0</v>
      </c>
      <c r="Y147" s="193">
        <f t="shared" si="42"/>
        <v>0</v>
      </c>
      <c r="Z147" s="182"/>
      <c r="AA147" s="182"/>
      <c r="AB147" s="182"/>
      <c r="AC147" s="182"/>
    </row>
    <row r="148" spans="1:29" s="179" customFormat="1">
      <c r="A148" s="182"/>
      <c r="B148" s="182"/>
      <c r="C148" s="182"/>
      <c r="D148" s="182" t="s">
        <v>726</v>
      </c>
      <c r="E148" s="193">
        <f t="shared" si="42"/>
        <v>0</v>
      </c>
      <c r="F148" s="193">
        <f t="shared" si="42"/>
        <v>0</v>
      </c>
      <c r="G148" s="193">
        <f t="shared" si="42"/>
        <v>0</v>
      </c>
      <c r="H148" s="193">
        <f t="shared" si="42"/>
        <v>0</v>
      </c>
      <c r="I148" s="193">
        <f t="shared" si="42"/>
        <v>0</v>
      </c>
      <c r="J148" s="193">
        <f t="shared" si="42"/>
        <v>0</v>
      </c>
      <c r="K148" s="193">
        <f t="shared" si="42"/>
        <v>0</v>
      </c>
      <c r="L148" s="193">
        <f t="shared" si="42"/>
        <v>0</v>
      </c>
      <c r="M148" s="193">
        <f t="shared" si="42"/>
        <v>0</v>
      </c>
      <c r="N148" s="193">
        <f t="shared" si="42"/>
        <v>0</v>
      </c>
      <c r="O148" s="193">
        <f t="shared" si="42"/>
        <v>0</v>
      </c>
      <c r="P148" s="193">
        <f t="shared" si="42"/>
        <v>0</v>
      </c>
      <c r="Q148" s="193">
        <f t="shared" si="42"/>
        <v>0</v>
      </c>
      <c r="R148" s="193">
        <f t="shared" si="42"/>
        <v>0</v>
      </c>
      <c r="S148" s="193">
        <f t="shared" si="42"/>
        <v>0</v>
      </c>
      <c r="T148" s="193">
        <f t="shared" si="42"/>
        <v>0</v>
      </c>
      <c r="U148" s="193">
        <f t="shared" si="42"/>
        <v>0</v>
      </c>
      <c r="V148" s="193">
        <f t="shared" si="42"/>
        <v>0</v>
      </c>
      <c r="W148" s="193">
        <f t="shared" si="42"/>
        <v>0</v>
      </c>
      <c r="X148" s="193">
        <f t="shared" si="42"/>
        <v>0</v>
      </c>
      <c r="Y148" s="193">
        <f t="shared" si="42"/>
        <v>0</v>
      </c>
      <c r="Z148" s="182"/>
      <c r="AA148" s="182"/>
      <c r="AB148" s="182"/>
      <c r="AC148" s="182"/>
    </row>
    <row r="149" spans="1:29" s="179" customFormat="1">
      <c r="A149" s="182"/>
      <c r="B149" s="182"/>
      <c r="C149" s="182"/>
      <c r="D149" s="182" t="s">
        <v>727</v>
      </c>
      <c r="E149" s="193">
        <f t="shared" si="42"/>
        <v>0</v>
      </c>
      <c r="F149" s="193">
        <f t="shared" si="42"/>
        <v>0</v>
      </c>
      <c r="G149" s="193">
        <f t="shared" si="42"/>
        <v>0</v>
      </c>
      <c r="H149" s="193">
        <f t="shared" si="42"/>
        <v>0</v>
      </c>
      <c r="I149" s="193">
        <f t="shared" si="42"/>
        <v>0</v>
      </c>
      <c r="J149" s="193">
        <f t="shared" si="42"/>
        <v>0</v>
      </c>
      <c r="K149" s="193">
        <f t="shared" si="42"/>
        <v>0</v>
      </c>
      <c r="L149" s="193">
        <f t="shared" si="42"/>
        <v>0</v>
      </c>
      <c r="M149" s="193">
        <f t="shared" si="42"/>
        <v>0</v>
      </c>
      <c r="N149" s="193">
        <f t="shared" si="42"/>
        <v>0</v>
      </c>
      <c r="O149" s="193">
        <f t="shared" si="42"/>
        <v>0</v>
      </c>
      <c r="P149" s="193">
        <f t="shared" si="42"/>
        <v>0</v>
      </c>
      <c r="Q149" s="193">
        <f t="shared" si="42"/>
        <v>0</v>
      </c>
      <c r="R149" s="193">
        <f t="shared" si="42"/>
        <v>0</v>
      </c>
      <c r="S149" s="193">
        <f t="shared" si="42"/>
        <v>0</v>
      </c>
      <c r="T149" s="193">
        <f t="shared" si="42"/>
        <v>0</v>
      </c>
      <c r="U149" s="193">
        <f t="shared" si="42"/>
        <v>0</v>
      </c>
      <c r="V149" s="193">
        <f t="shared" si="42"/>
        <v>0</v>
      </c>
      <c r="W149" s="193">
        <f t="shared" si="42"/>
        <v>0</v>
      </c>
      <c r="X149" s="193">
        <f t="shared" si="42"/>
        <v>0</v>
      </c>
      <c r="Y149" s="193">
        <f t="shared" si="42"/>
        <v>0</v>
      </c>
      <c r="Z149" s="182"/>
      <c r="AA149" s="182"/>
      <c r="AB149" s="182"/>
      <c r="AC149" s="182"/>
    </row>
    <row r="150" spans="1:29" s="179" customFormat="1">
      <c r="A150" s="182"/>
      <c r="B150" s="182"/>
      <c r="C150" s="182"/>
      <c r="D150" s="182" t="s">
        <v>728</v>
      </c>
      <c r="E150" s="193">
        <f t="shared" si="42"/>
        <v>0</v>
      </c>
      <c r="F150" s="193">
        <f t="shared" si="42"/>
        <v>0</v>
      </c>
      <c r="G150" s="193">
        <f t="shared" si="42"/>
        <v>0</v>
      </c>
      <c r="H150" s="193">
        <f t="shared" si="42"/>
        <v>0</v>
      </c>
      <c r="I150" s="193">
        <f t="shared" si="42"/>
        <v>0</v>
      </c>
      <c r="J150" s="193">
        <f t="shared" ref="J150:Y165" si="43">J113-J112</f>
        <v>0</v>
      </c>
      <c r="K150" s="193">
        <f t="shared" si="43"/>
        <v>0</v>
      </c>
      <c r="L150" s="193">
        <f t="shared" si="43"/>
        <v>0</v>
      </c>
      <c r="M150" s="193">
        <f t="shared" si="43"/>
        <v>0</v>
      </c>
      <c r="N150" s="193">
        <f t="shared" si="43"/>
        <v>0</v>
      </c>
      <c r="O150" s="193">
        <f t="shared" si="43"/>
        <v>0</v>
      </c>
      <c r="P150" s="193">
        <f t="shared" si="43"/>
        <v>0</v>
      </c>
      <c r="Q150" s="193">
        <f t="shared" si="43"/>
        <v>0</v>
      </c>
      <c r="R150" s="193">
        <f t="shared" si="43"/>
        <v>0</v>
      </c>
      <c r="S150" s="193">
        <f t="shared" si="43"/>
        <v>0</v>
      </c>
      <c r="T150" s="193">
        <f t="shared" si="43"/>
        <v>0</v>
      </c>
      <c r="U150" s="193">
        <f t="shared" si="43"/>
        <v>0</v>
      </c>
      <c r="V150" s="193">
        <f t="shared" si="43"/>
        <v>0</v>
      </c>
      <c r="W150" s="193">
        <f t="shared" si="43"/>
        <v>0</v>
      </c>
      <c r="X150" s="193">
        <f t="shared" si="43"/>
        <v>0</v>
      </c>
      <c r="Y150" s="193">
        <f t="shared" si="43"/>
        <v>0</v>
      </c>
      <c r="Z150" s="182"/>
      <c r="AA150" s="182"/>
      <c r="AB150" s="182"/>
      <c r="AC150" s="182"/>
    </row>
    <row r="151" spans="1:29" s="179" customFormat="1">
      <c r="A151" s="182"/>
      <c r="B151" s="182"/>
      <c r="C151" s="182"/>
      <c r="D151" s="182" t="s">
        <v>729</v>
      </c>
      <c r="E151" s="193">
        <f t="shared" ref="E151:X163" si="44">E114-E113</f>
        <v>0</v>
      </c>
      <c r="F151" s="193">
        <f t="shared" si="44"/>
        <v>0</v>
      </c>
      <c r="G151" s="193">
        <f t="shared" si="44"/>
        <v>0</v>
      </c>
      <c r="H151" s="193">
        <f t="shared" si="44"/>
        <v>0</v>
      </c>
      <c r="I151" s="193">
        <f t="shared" si="44"/>
        <v>0</v>
      </c>
      <c r="J151" s="193">
        <f t="shared" si="44"/>
        <v>0</v>
      </c>
      <c r="K151" s="193">
        <f t="shared" si="44"/>
        <v>0</v>
      </c>
      <c r="L151" s="193">
        <f t="shared" si="44"/>
        <v>0</v>
      </c>
      <c r="M151" s="193">
        <f t="shared" si="44"/>
        <v>0</v>
      </c>
      <c r="N151" s="193">
        <f t="shared" si="44"/>
        <v>0</v>
      </c>
      <c r="O151" s="193">
        <f t="shared" si="44"/>
        <v>0</v>
      </c>
      <c r="P151" s="193">
        <f t="shared" si="44"/>
        <v>0</v>
      </c>
      <c r="Q151" s="193">
        <f t="shared" si="44"/>
        <v>0</v>
      </c>
      <c r="R151" s="193">
        <f t="shared" si="44"/>
        <v>0</v>
      </c>
      <c r="S151" s="193">
        <f t="shared" si="44"/>
        <v>0</v>
      </c>
      <c r="T151" s="193">
        <f t="shared" si="44"/>
        <v>0</v>
      </c>
      <c r="U151" s="193">
        <f t="shared" si="44"/>
        <v>0</v>
      </c>
      <c r="V151" s="193">
        <f t="shared" si="44"/>
        <v>0</v>
      </c>
      <c r="W151" s="193">
        <f t="shared" si="44"/>
        <v>0</v>
      </c>
      <c r="X151" s="193">
        <f t="shared" si="44"/>
        <v>0</v>
      </c>
      <c r="Y151" s="193">
        <f t="shared" si="43"/>
        <v>0</v>
      </c>
      <c r="Z151" s="182"/>
      <c r="AA151" s="182"/>
      <c r="AB151" s="182"/>
      <c r="AC151" s="182"/>
    </row>
    <row r="152" spans="1:29" s="179" customFormat="1">
      <c r="A152" s="182"/>
      <c r="B152" s="182"/>
      <c r="C152" s="182"/>
      <c r="D152" s="182" t="s">
        <v>730</v>
      </c>
      <c r="E152" s="193">
        <f t="shared" si="44"/>
        <v>0</v>
      </c>
      <c r="F152" s="193">
        <f t="shared" si="44"/>
        <v>0</v>
      </c>
      <c r="G152" s="193">
        <f t="shared" si="44"/>
        <v>0</v>
      </c>
      <c r="H152" s="193">
        <f t="shared" si="44"/>
        <v>0</v>
      </c>
      <c r="I152" s="193">
        <f t="shared" si="44"/>
        <v>0</v>
      </c>
      <c r="J152" s="193">
        <f t="shared" si="44"/>
        <v>0</v>
      </c>
      <c r="K152" s="193">
        <f t="shared" si="44"/>
        <v>0</v>
      </c>
      <c r="L152" s="193">
        <f t="shared" si="44"/>
        <v>0</v>
      </c>
      <c r="M152" s="193">
        <f t="shared" si="44"/>
        <v>0</v>
      </c>
      <c r="N152" s="193">
        <f t="shared" si="44"/>
        <v>0</v>
      </c>
      <c r="O152" s="193">
        <f t="shared" si="44"/>
        <v>0</v>
      </c>
      <c r="P152" s="193">
        <f t="shared" si="44"/>
        <v>0</v>
      </c>
      <c r="Q152" s="193">
        <f t="shared" si="44"/>
        <v>0</v>
      </c>
      <c r="R152" s="193">
        <f t="shared" si="44"/>
        <v>0</v>
      </c>
      <c r="S152" s="193">
        <f t="shared" si="44"/>
        <v>0</v>
      </c>
      <c r="T152" s="193">
        <f t="shared" si="44"/>
        <v>0</v>
      </c>
      <c r="U152" s="193">
        <f t="shared" si="44"/>
        <v>0</v>
      </c>
      <c r="V152" s="193">
        <f t="shared" si="44"/>
        <v>0</v>
      </c>
      <c r="W152" s="193">
        <f t="shared" si="44"/>
        <v>0</v>
      </c>
      <c r="X152" s="193">
        <f t="shared" si="44"/>
        <v>0</v>
      </c>
      <c r="Y152" s="193">
        <f t="shared" si="43"/>
        <v>0</v>
      </c>
      <c r="Z152" s="182"/>
      <c r="AA152" s="182"/>
      <c r="AB152" s="182"/>
      <c r="AC152" s="182"/>
    </row>
    <row r="153" spans="1:29" s="179" customFormat="1">
      <c r="A153" s="182"/>
      <c r="B153" s="182"/>
      <c r="C153" s="182"/>
      <c r="D153" s="182" t="s">
        <v>731</v>
      </c>
      <c r="E153" s="193">
        <f t="shared" si="44"/>
        <v>0</v>
      </c>
      <c r="F153" s="193">
        <f t="shared" si="44"/>
        <v>0</v>
      </c>
      <c r="G153" s="193">
        <f t="shared" si="44"/>
        <v>0</v>
      </c>
      <c r="H153" s="193">
        <f t="shared" si="44"/>
        <v>0</v>
      </c>
      <c r="I153" s="193">
        <f t="shared" si="44"/>
        <v>0</v>
      </c>
      <c r="J153" s="193">
        <f t="shared" si="44"/>
        <v>0</v>
      </c>
      <c r="K153" s="193">
        <f t="shared" si="44"/>
        <v>0</v>
      </c>
      <c r="L153" s="193">
        <f t="shared" si="44"/>
        <v>0</v>
      </c>
      <c r="M153" s="193">
        <f t="shared" si="44"/>
        <v>0</v>
      </c>
      <c r="N153" s="193">
        <f t="shared" si="44"/>
        <v>0</v>
      </c>
      <c r="O153" s="193">
        <f t="shared" si="44"/>
        <v>0</v>
      </c>
      <c r="P153" s="193">
        <f t="shared" si="44"/>
        <v>0</v>
      </c>
      <c r="Q153" s="193">
        <f t="shared" si="44"/>
        <v>0</v>
      </c>
      <c r="R153" s="193">
        <f t="shared" si="44"/>
        <v>0</v>
      </c>
      <c r="S153" s="193">
        <f t="shared" si="44"/>
        <v>0</v>
      </c>
      <c r="T153" s="193">
        <f t="shared" si="44"/>
        <v>0</v>
      </c>
      <c r="U153" s="193">
        <f t="shared" si="44"/>
        <v>0</v>
      </c>
      <c r="V153" s="193">
        <f t="shared" si="44"/>
        <v>0</v>
      </c>
      <c r="W153" s="193">
        <f t="shared" si="44"/>
        <v>0</v>
      </c>
      <c r="X153" s="193">
        <f t="shared" si="44"/>
        <v>0</v>
      </c>
      <c r="Y153" s="193">
        <f t="shared" si="43"/>
        <v>0</v>
      </c>
      <c r="Z153" s="182"/>
      <c r="AA153" s="182"/>
      <c r="AB153" s="182"/>
      <c r="AC153" s="182"/>
    </row>
    <row r="154" spans="1:29" s="179" customFormat="1">
      <c r="A154" s="182"/>
      <c r="B154" s="182"/>
      <c r="C154" s="182"/>
      <c r="D154" s="182" t="s">
        <v>732</v>
      </c>
      <c r="E154" s="193">
        <f t="shared" si="44"/>
        <v>0</v>
      </c>
      <c r="F154" s="193">
        <f t="shared" si="44"/>
        <v>0</v>
      </c>
      <c r="G154" s="193">
        <f t="shared" si="44"/>
        <v>0</v>
      </c>
      <c r="H154" s="193">
        <f t="shared" si="44"/>
        <v>0</v>
      </c>
      <c r="I154" s="193">
        <f t="shared" si="44"/>
        <v>0</v>
      </c>
      <c r="J154" s="193">
        <f t="shared" si="44"/>
        <v>0</v>
      </c>
      <c r="K154" s="193">
        <f t="shared" si="44"/>
        <v>0</v>
      </c>
      <c r="L154" s="193">
        <f t="shared" si="44"/>
        <v>0</v>
      </c>
      <c r="M154" s="193">
        <f t="shared" si="44"/>
        <v>0</v>
      </c>
      <c r="N154" s="193">
        <f t="shared" si="44"/>
        <v>0</v>
      </c>
      <c r="O154" s="193">
        <f t="shared" si="44"/>
        <v>0</v>
      </c>
      <c r="P154" s="193">
        <f t="shared" si="44"/>
        <v>0</v>
      </c>
      <c r="Q154" s="193">
        <f t="shared" si="44"/>
        <v>0</v>
      </c>
      <c r="R154" s="193">
        <f t="shared" si="44"/>
        <v>0</v>
      </c>
      <c r="S154" s="193">
        <f t="shared" si="44"/>
        <v>0</v>
      </c>
      <c r="T154" s="193">
        <f t="shared" si="44"/>
        <v>0</v>
      </c>
      <c r="U154" s="193">
        <f t="shared" si="44"/>
        <v>0</v>
      </c>
      <c r="V154" s="193">
        <f t="shared" si="44"/>
        <v>0</v>
      </c>
      <c r="W154" s="193">
        <f t="shared" si="44"/>
        <v>0</v>
      </c>
      <c r="X154" s="193">
        <f t="shared" si="44"/>
        <v>0</v>
      </c>
      <c r="Y154" s="193">
        <f t="shared" si="43"/>
        <v>0</v>
      </c>
      <c r="Z154" s="182"/>
      <c r="AA154" s="182"/>
      <c r="AB154" s="182"/>
      <c r="AC154" s="182"/>
    </row>
    <row r="155" spans="1:29" s="179" customFormat="1">
      <c r="A155" s="182"/>
      <c r="B155" s="182"/>
      <c r="C155" s="182"/>
      <c r="D155" s="182" t="s">
        <v>733</v>
      </c>
      <c r="E155" s="193">
        <f t="shared" si="44"/>
        <v>0</v>
      </c>
      <c r="F155" s="193">
        <f t="shared" si="44"/>
        <v>0</v>
      </c>
      <c r="G155" s="193">
        <f t="shared" si="44"/>
        <v>0</v>
      </c>
      <c r="H155" s="193">
        <f t="shared" si="44"/>
        <v>0</v>
      </c>
      <c r="I155" s="193">
        <f t="shared" si="44"/>
        <v>0</v>
      </c>
      <c r="J155" s="193">
        <f t="shared" si="44"/>
        <v>0</v>
      </c>
      <c r="K155" s="193">
        <f t="shared" si="44"/>
        <v>0</v>
      </c>
      <c r="L155" s="193">
        <f t="shared" si="44"/>
        <v>0</v>
      </c>
      <c r="M155" s="193">
        <f t="shared" si="44"/>
        <v>0</v>
      </c>
      <c r="N155" s="193">
        <f t="shared" si="44"/>
        <v>0</v>
      </c>
      <c r="O155" s="193">
        <f t="shared" si="44"/>
        <v>0</v>
      </c>
      <c r="P155" s="193">
        <f t="shared" si="44"/>
        <v>0</v>
      </c>
      <c r="Q155" s="193">
        <f t="shared" si="44"/>
        <v>0</v>
      </c>
      <c r="R155" s="193">
        <f t="shared" si="44"/>
        <v>0</v>
      </c>
      <c r="S155" s="193">
        <f t="shared" si="44"/>
        <v>0</v>
      </c>
      <c r="T155" s="193">
        <f t="shared" si="44"/>
        <v>0</v>
      </c>
      <c r="U155" s="193">
        <f t="shared" si="44"/>
        <v>0</v>
      </c>
      <c r="V155" s="193">
        <f t="shared" si="44"/>
        <v>0</v>
      </c>
      <c r="W155" s="193">
        <f t="shared" si="44"/>
        <v>0</v>
      </c>
      <c r="X155" s="193">
        <f t="shared" si="44"/>
        <v>0</v>
      </c>
      <c r="Y155" s="193">
        <f t="shared" si="43"/>
        <v>0</v>
      </c>
      <c r="Z155" s="182"/>
      <c r="AA155" s="182"/>
      <c r="AB155" s="182"/>
      <c r="AC155" s="182"/>
    </row>
    <row r="156" spans="1:29" s="179" customFormat="1">
      <c r="A156" s="182"/>
      <c r="B156" s="182"/>
      <c r="C156" s="182"/>
      <c r="D156" s="182" t="s">
        <v>734</v>
      </c>
      <c r="E156" s="193">
        <f t="shared" si="44"/>
        <v>0</v>
      </c>
      <c r="F156" s="193">
        <f t="shared" si="44"/>
        <v>0</v>
      </c>
      <c r="G156" s="193">
        <f t="shared" si="44"/>
        <v>0</v>
      </c>
      <c r="H156" s="193">
        <f t="shared" si="44"/>
        <v>0</v>
      </c>
      <c r="I156" s="193">
        <f t="shared" si="44"/>
        <v>0</v>
      </c>
      <c r="J156" s="193">
        <f t="shared" si="44"/>
        <v>0</v>
      </c>
      <c r="K156" s="193">
        <f t="shared" si="44"/>
        <v>0</v>
      </c>
      <c r="L156" s="193">
        <f t="shared" si="44"/>
        <v>0</v>
      </c>
      <c r="M156" s="193">
        <f t="shared" si="44"/>
        <v>0</v>
      </c>
      <c r="N156" s="193">
        <f t="shared" si="44"/>
        <v>0</v>
      </c>
      <c r="O156" s="193">
        <f t="shared" si="44"/>
        <v>0</v>
      </c>
      <c r="P156" s="193">
        <f t="shared" si="44"/>
        <v>0</v>
      </c>
      <c r="Q156" s="193">
        <f t="shared" si="44"/>
        <v>0</v>
      </c>
      <c r="R156" s="193">
        <f t="shared" si="44"/>
        <v>0</v>
      </c>
      <c r="S156" s="193">
        <f t="shared" si="44"/>
        <v>0</v>
      </c>
      <c r="T156" s="193">
        <f t="shared" si="44"/>
        <v>0</v>
      </c>
      <c r="U156" s="193">
        <f t="shared" si="44"/>
        <v>0</v>
      </c>
      <c r="V156" s="193">
        <f t="shared" si="44"/>
        <v>0</v>
      </c>
      <c r="W156" s="193">
        <f t="shared" si="44"/>
        <v>0</v>
      </c>
      <c r="X156" s="193">
        <f t="shared" si="44"/>
        <v>0</v>
      </c>
      <c r="Y156" s="193">
        <f t="shared" si="43"/>
        <v>0</v>
      </c>
      <c r="Z156" s="182"/>
      <c r="AA156" s="182"/>
      <c r="AB156" s="182"/>
      <c r="AC156" s="182"/>
    </row>
    <row r="157" spans="1:29" s="179" customFormat="1">
      <c r="A157" s="182"/>
      <c r="B157" s="182"/>
      <c r="C157" s="182"/>
      <c r="D157" s="182" t="s">
        <v>735</v>
      </c>
      <c r="E157" s="193">
        <f t="shared" si="44"/>
        <v>0</v>
      </c>
      <c r="F157" s="193">
        <f t="shared" si="44"/>
        <v>0</v>
      </c>
      <c r="G157" s="193">
        <f t="shared" si="44"/>
        <v>0</v>
      </c>
      <c r="H157" s="193">
        <f t="shared" si="44"/>
        <v>0</v>
      </c>
      <c r="I157" s="193">
        <f t="shared" si="44"/>
        <v>0</v>
      </c>
      <c r="J157" s="193">
        <f t="shared" si="44"/>
        <v>0</v>
      </c>
      <c r="K157" s="193">
        <f t="shared" si="44"/>
        <v>0</v>
      </c>
      <c r="L157" s="193">
        <f t="shared" si="44"/>
        <v>0</v>
      </c>
      <c r="M157" s="193">
        <f t="shared" si="44"/>
        <v>0</v>
      </c>
      <c r="N157" s="193">
        <f t="shared" si="44"/>
        <v>0</v>
      </c>
      <c r="O157" s="193">
        <f t="shared" si="44"/>
        <v>0</v>
      </c>
      <c r="P157" s="193">
        <f t="shared" si="44"/>
        <v>0</v>
      </c>
      <c r="Q157" s="193">
        <f t="shared" si="44"/>
        <v>0</v>
      </c>
      <c r="R157" s="193">
        <f t="shared" si="44"/>
        <v>0</v>
      </c>
      <c r="S157" s="193">
        <f t="shared" si="44"/>
        <v>0</v>
      </c>
      <c r="T157" s="193">
        <f t="shared" si="44"/>
        <v>0</v>
      </c>
      <c r="U157" s="193">
        <f t="shared" si="44"/>
        <v>0</v>
      </c>
      <c r="V157" s="193">
        <f t="shared" si="44"/>
        <v>0</v>
      </c>
      <c r="W157" s="193">
        <f t="shared" si="44"/>
        <v>0</v>
      </c>
      <c r="X157" s="193">
        <f t="shared" si="44"/>
        <v>0</v>
      </c>
      <c r="Y157" s="193">
        <f t="shared" si="43"/>
        <v>0</v>
      </c>
      <c r="Z157" s="182"/>
      <c r="AA157" s="182"/>
      <c r="AB157" s="182"/>
      <c r="AC157" s="182"/>
    </row>
    <row r="158" spans="1:29" s="179" customFormat="1">
      <c r="A158" s="182"/>
      <c r="B158" s="182"/>
      <c r="C158" s="182"/>
      <c r="D158" s="182" t="s">
        <v>852</v>
      </c>
      <c r="E158" s="193">
        <f t="shared" si="44"/>
        <v>0</v>
      </c>
      <c r="F158" s="193">
        <f t="shared" si="44"/>
        <v>0</v>
      </c>
      <c r="G158" s="193">
        <f t="shared" si="44"/>
        <v>0</v>
      </c>
      <c r="H158" s="193">
        <f t="shared" si="44"/>
        <v>0</v>
      </c>
      <c r="I158" s="193">
        <f t="shared" si="44"/>
        <v>0</v>
      </c>
      <c r="J158" s="193">
        <f t="shared" si="44"/>
        <v>0</v>
      </c>
      <c r="K158" s="193">
        <f t="shared" si="44"/>
        <v>0</v>
      </c>
      <c r="L158" s="193">
        <f t="shared" si="44"/>
        <v>0</v>
      </c>
      <c r="M158" s="193">
        <f t="shared" si="44"/>
        <v>0</v>
      </c>
      <c r="N158" s="193">
        <f t="shared" si="44"/>
        <v>0</v>
      </c>
      <c r="O158" s="193">
        <f t="shared" si="44"/>
        <v>0</v>
      </c>
      <c r="P158" s="193">
        <f t="shared" si="44"/>
        <v>0</v>
      </c>
      <c r="Q158" s="193">
        <f t="shared" si="44"/>
        <v>0</v>
      </c>
      <c r="R158" s="193">
        <f t="shared" si="44"/>
        <v>0</v>
      </c>
      <c r="S158" s="193">
        <f t="shared" si="44"/>
        <v>0</v>
      </c>
      <c r="T158" s="193">
        <f t="shared" si="44"/>
        <v>0</v>
      </c>
      <c r="U158" s="193">
        <f t="shared" si="44"/>
        <v>0</v>
      </c>
      <c r="V158" s="193">
        <f t="shared" si="44"/>
        <v>0</v>
      </c>
      <c r="W158" s="193">
        <f t="shared" si="44"/>
        <v>0</v>
      </c>
      <c r="X158" s="193">
        <f t="shared" si="44"/>
        <v>0</v>
      </c>
      <c r="Y158" s="193">
        <f t="shared" si="43"/>
        <v>0</v>
      </c>
      <c r="Z158" s="182"/>
      <c r="AA158" s="182"/>
      <c r="AB158" s="182"/>
      <c r="AC158" s="182"/>
    </row>
    <row r="159" spans="1:29" s="179" customFormat="1">
      <c r="A159" s="182"/>
      <c r="B159" s="182"/>
      <c r="C159" s="182"/>
      <c r="D159" s="182" t="s">
        <v>855</v>
      </c>
      <c r="E159" s="193">
        <f t="shared" si="44"/>
        <v>0</v>
      </c>
      <c r="F159" s="193">
        <f t="shared" si="44"/>
        <v>0</v>
      </c>
      <c r="G159" s="193">
        <f t="shared" si="44"/>
        <v>0</v>
      </c>
      <c r="H159" s="193">
        <f t="shared" si="44"/>
        <v>0</v>
      </c>
      <c r="I159" s="193">
        <f t="shared" si="44"/>
        <v>0</v>
      </c>
      <c r="J159" s="193">
        <f t="shared" si="44"/>
        <v>0</v>
      </c>
      <c r="K159" s="193">
        <f t="shared" si="44"/>
        <v>0</v>
      </c>
      <c r="L159" s="193">
        <f t="shared" si="44"/>
        <v>0</v>
      </c>
      <c r="M159" s="193">
        <f t="shared" si="44"/>
        <v>0</v>
      </c>
      <c r="N159" s="193">
        <f t="shared" si="44"/>
        <v>0</v>
      </c>
      <c r="O159" s="193">
        <f t="shared" si="44"/>
        <v>0</v>
      </c>
      <c r="P159" s="193">
        <f t="shared" si="44"/>
        <v>0</v>
      </c>
      <c r="Q159" s="193">
        <f t="shared" si="44"/>
        <v>0</v>
      </c>
      <c r="R159" s="193">
        <f t="shared" si="44"/>
        <v>0</v>
      </c>
      <c r="S159" s="193">
        <f t="shared" si="44"/>
        <v>0</v>
      </c>
      <c r="T159" s="193">
        <f t="shared" si="44"/>
        <v>0</v>
      </c>
      <c r="U159" s="193">
        <f t="shared" si="44"/>
        <v>0</v>
      </c>
      <c r="V159" s="193">
        <f t="shared" si="44"/>
        <v>0</v>
      </c>
      <c r="W159" s="193">
        <f t="shared" si="44"/>
        <v>0</v>
      </c>
      <c r="X159" s="193">
        <f t="shared" si="44"/>
        <v>0</v>
      </c>
      <c r="Y159" s="193">
        <f t="shared" si="43"/>
        <v>0</v>
      </c>
      <c r="Z159" s="182"/>
      <c r="AA159" s="182"/>
      <c r="AB159" s="182"/>
      <c r="AC159" s="182"/>
    </row>
    <row r="160" spans="1:29" s="179" customFormat="1">
      <c r="A160" s="182"/>
      <c r="B160" s="182"/>
      <c r="C160" s="182"/>
      <c r="D160" s="182" t="s">
        <v>858</v>
      </c>
      <c r="E160" s="193">
        <f t="shared" si="44"/>
        <v>0</v>
      </c>
      <c r="F160" s="193">
        <f t="shared" si="44"/>
        <v>0</v>
      </c>
      <c r="G160" s="193">
        <f t="shared" si="44"/>
        <v>0</v>
      </c>
      <c r="H160" s="193">
        <f t="shared" si="44"/>
        <v>0</v>
      </c>
      <c r="I160" s="193">
        <f t="shared" si="44"/>
        <v>0</v>
      </c>
      <c r="J160" s="193">
        <f t="shared" si="44"/>
        <v>0</v>
      </c>
      <c r="K160" s="193">
        <f t="shared" si="44"/>
        <v>0</v>
      </c>
      <c r="L160" s="193">
        <f t="shared" si="44"/>
        <v>0</v>
      </c>
      <c r="M160" s="193">
        <f t="shared" si="44"/>
        <v>0</v>
      </c>
      <c r="N160" s="193">
        <f t="shared" si="44"/>
        <v>0</v>
      </c>
      <c r="O160" s="193">
        <f t="shared" si="44"/>
        <v>0</v>
      </c>
      <c r="P160" s="193">
        <f t="shared" si="44"/>
        <v>0</v>
      </c>
      <c r="Q160" s="193">
        <f t="shared" si="44"/>
        <v>0</v>
      </c>
      <c r="R160" s="193">
        <f t="shared" si="44"/>
        <v>0</v>
      </c>
      <c r="S160" s="193">
        <f t="shared" si="44"/>
        <v>0</v>
      </c>
      <c r="T160" s="193">
        <f t="shared" si="44"/>
        <v>0</v>
      </c>
      <c r="U160" s="193">
        <f t="shared" si="44"/>
        <v>0</v>
      </c>
      <c r="V160" s="193">
        <f t="shared" si="44"/>
        <v>0</v>
      </c>
      <c r="W160" s="193">
        <f t="shared" si="44"/>
        <v>0</v>
      </c>
      <c r="X160" s="193">
        <f t="shared" si="44"/>
        <v>0</v>
      </c>
      <c r="Y160" s="193">
        <f t="shared" si="43"/>
        <v>0</v>
      </c>
      <c r="Z160" s="182"/>
      <c r="AA160" s="182"/>
      <c r="AB160" s="182"/>
      <c r="AC160" s="182"/>
    </row>
    <row r="161" spans="1:29" s="179" customFormat="1">
      <c r="A161" s="182"/>
      <c r="B161" s="182"/>
      <c r="C161" s="182"/>
      <c r="D161" s="182" t="s">
        <v>861</v>
      </c>
      <c r="E161" s="193">
        <f t="shared" si="44"/>
        <v>0</v>
      </c>
      <c r="F161" s="193">
        <f t="shared" si="44"/>
        <v>0</v>
      </c>
      <c r="G161" s="193">
        <f t="shared" si="44"/>
        <v>0</v>
      </c>
      <c r="H161" s="193">
        <f t="shared" si="44"/>
        <v>0</v>
      </c>
      <c r="I161" s="193">
        <f t="shared" si="44"/>
        <v>0</v>
      </c>
      <c r="J161" s="193">
        <f t="shared" si="44"/>
        <v>0</v>
      </c>
      <c r="K161" s="193">
        <f t="shared" si="44"/>
        <v>0</v>
      </c>
      <c r="L161" s="193">
        <f t="shared" si="44"/>
        <v>0</v>
      </c>
      <c r="M161" s="193">
        <f t="shared" si="44"/>
        <v>0</v>
      </c>
      <c r="N161" s="193">
        <f t="shared" si="44"/>
        <v>0</v>
      </c>
      <c r="O161" s="193">
        <f t="shared" si="44"/>
        <v>0</v>
      </c>
      <c r="P161" s="193">
        <f t="shared" si="44"/>
        <v>0</v>
      </c>
      <c r="Q161" s="193">
        <f t="shared" si="44"/>
        <v>0</v>
      </c>
      <c r="R161" s="193">
        <f t="shared" si="44"/>
        <v>0</v>
      </c>
      <c r="S161" s="193">
        <f t="shared" si="44"/>
        <v>0</v>
      </c>
      <c r="T161" s="193">
        <f t="shared" si="44"/>
        <v>0</v>
      </c>
      <c r="U161" s="193">
        <f t="shared" si="44"/>
        <v>0</v>
      </c>
      <c r="V161" s="193">
        <f t="shared" si="44"/>
        <v>0</v>
      </c>
      <c r="W161" s="193">
        <f t="shared" si="44"/>
        <v>0</v>
      </c>
      <c r="X161" s="193">
        <f t="shared" si="44"/>
        <v>0</v>
      </c>
      <c r="Y161" s="193">
        <f t="shared" si="43"/>
        <v>0</v>
      </c>
      <c r="Z161" s="182"/>
      <c r="AA161" s="182"/>
      <c r="AB161" s="182"/>
      <c r="AC161" s="182"/>
    </row>
    <row r="162" spans="1:29" s="179" customFormat="1">
      <c r="A162" s="182"/>
      <c r="B162" s="182"/>
      <c r="C162" s="182"/>
      <c r="D162" s="182" t="s">
        <v>864</v>
      </c>
      <c r="E162" s="193">
        <f t="shared" si="44"/>
        <v>0</v>
      </c>
      <c r="F162" s="193">
        <f t="shared" si="44"/>
        <v>0</v>
      </c>
      <c r="G162" s="193">
        <f t="shared" si="44"/>
        <v>0</v>
      </c>
      <c r="H162" s="193">
        <f t="shared" si="44"/>
        <v>0</v>
      </c>
      <c r="I162" s="193">
        <f t="shared" si="44"/>
        <v>0</v>
      </c>
      <c r="J162" s="193">
        <f t="shared" si="44"/>
        <v>0</v>
      </c>
      <c r="K162" s="193">
        <f t="shared" si="44"/>
        <v>0</v>
      </c>
      <c r="L162" s="193">
        <f t="shared" si="44"/>
        <v>0</v>
      </c>
      <c r="M162" s="193">
        <f t="shared" si="44"/>
        <v>0</v>
      </c>
      <c r="N162" s="193">
        <f t="shared" si="44"/>
        <v>0</v>
      </c>
      <c r="O162" s="193">
        <f t="shared" si="44"/>
        <v>0</v>
      </c>
      <c r="P162" s="193">
        <f t="shared" si="44"/>
        <v>0</v>
      </c>
      <c r="Q162" s="193">
        <f t="shared" si="44"/>
        <v>0</v>
      </c>
      <c r="R162" s="193">
        <f t="shared" si="44"/>
        <v>0</v>
      </c>
      <c r="S162" s="193">
        <f t="shared" si="44"/>
        <v>0</v>
      </c>
      <c r="T162" s="193">
        <f t="shared" si="44"/>
        <v>0</v>
      </c>
      <c r="U162" s="193">
        <f t="shared" si="44"/>
        <v>0</v>
      </c>
      <c r="V162" s="193">
        <f t="shared" si="44"/>
        <v>0</v>
      </c>
      <c r="W162" s="193">
        <f t="shared" si="44"/>
        <v>0</v>
      </c>
      <c r="X162" s="193">
        <f t="shared" si="44"/>
        <v>0</v>
      </c>
      <c r="Y162" s="193">
        <f t="shared" si="43"/>
        <v>0</v>
      </c>
      <c r="Z162" s="182"/>
      <c r="AA162" s="182"/>
      <c r="AB162" s="182"/>
      <c r="AC162" s="182"/>
    </row>
    <row r="163" spans="1:29" s="179" customFormat="1">
      <c r="A163" s="182"/>
      <c r="B163" s="182"/>
      <c r="C163" s="182"/>
      <c r="D163" s="182" t="s">
        <v>867</v>
      </c>
      <c r="E163" s="193">
        <f t="shared" si="44"/>
        <v>0</v>
      </c>
      <c r="F163" s="193">
        <f t="shared" si="44"/>
        <v>0</v>
      </c>
      <c r="G163" s="193">
        <f t="shared" si="44"/>
        <v>0</v>
      </c>
      <c r="H163" s="193">
        <f t="shared" si="44"/>
        <v>0</v>
      </c>
      <c r="I163" s="193">
        <f t="shared" si="44"/>
        <v>0</v>
      </c>
      <c r="J163" s="193">
        <f t="shared" si="44"/>
        <v>0</v>
      </c>
      <c r="K163" s="193">
        <f t="shared" si="44"/>
        <v>0</v>
      </c>
      <c r="L163" s="193">
        <f t="shared" si="44"/>
        <v>0</v>
      </c>
      <c r="M163" s="193">
        <f t="shared" si="44"/>
        <v>0</v>
      </c>
      <c r="N163" s="193">
        <f t="shared" si="44"/>
        <v>0</v>
      </c>
      <c r="O163" s="193">
        <f t="shared" si="44"/>
        <v>0</v>
      </c>
      <c r="P163" s="193">
        <f t="shared" si="44"/>
        <v>0</v>
      </c>
      <c r="Q163" s="193">
        <f t="shared" si="44"/>
        <v>0</v>
      </c>
      <c r="R163" s="193">
        <f t="shared" si="44"/>
        <v>0</v>
      </c>
      <c r="S163" s="193">
        <f t="shared" si="44"/>
        <v>0</v>
      </c>
      <c r="T163" s="193">
        <f t="shared" ref="T163:X163" si="45">T126-T125</f>
        <v>0</v>
      </c>
      <c r="U163" s="193">
        <f t="shared" si="45"/>
        <v>0</v>
      </c>
      <c r="V163" s="193">
        <f t="shared" si="45"/>
        <v>0</v>
      </c>
      <c r="W163" s="193">
        <f t="shared" si="45"/>
        <v>0</v>
      </c>
      <c r="X163" s="193">
        <f t="shared" si="45"/>
        <v>0</v>
      </c>
      <c r="Y163" s="193">
        <f t="shared" si="43"/>
        <v>0</v>
      </c>
      <c r="Z163" s="182"/>
      <c r="AA163" s="182"/>
      <c r="AB163" s="182"/>
      <c r="AC163" s="182"/>
    </row>
    <row r="164" spans="1:29" s="179" customFormat="1">
      <c r="A164" s="182"/>
      <c r="B164" s="182"/>
      <c r="C164" s="182"/>
      <c r="D164" s="182" t="s">
        <v>870</v>
      </c>
      <c r="E164" s="193">
        <f t="shared" ref="E164:X168" si="46">E127-E126</f>
        <v>0</v>
      </c>
      <c r="F164" s="193">
        <f t="shared" si="46"/>
        <v>0</v>
      </c>
      <c r="G164" s="193">
        <f t="shared" si="46"/>
        <v>0</v>
      </c>
      <c r="H164" s="193">
        <f t="shared" si="46"/>
        <v>0</v>
      </c>
      <c r="I164" s="193">
        <f t="shared" si="46"/>
        <v>0</v>
      </c>
      <c r="J164" s="193">
        <f t="shared" si="46"/>
        <v>0</v>
      </c>
      <c r="K164" s="193">
        <f t="shared" si="46"/>
        <v>0</v>
      </c>
      <c r="L164" s="193">
        <f t="shared" si="46"/>
        <v>0</v>
      </c>
      <c r="M164" s="193">
        <f t="shared" si="46"/>
        <v>0</v>
      </c>
      <c r="N164" s="193">
        <f t="shared" si="46"/>
        <v>0</v>
      </c>
      <c r="O164" s="193">
        <f t="shared" si="46"/>
        <v>0</v>
      </c>
      <c r="P164" s="193">
        <f t="shared" si="46"/>
        <v>0</v>
      </c>
      <c r="Q164" s="193">
        <f t="shared" si="46"/>
        <v>0</v>
      </c>
      <c r="R164" s="193">
        <f t="shared" si="46"/>
        <v>0</v>
      </c>
      <c r="S164" s="193">
        <f t="shared" si="46"/>
        <v>0</v>
      </c>
      <c r="T164" s="193">
        <f t="shared" si="46"/>
        <v>0</v>
      </c>
      <c r="U164" s="193">
        <f t="shared" si="46"/>
        <v>0</v>
      </c>
      <c r="V164" s="193">
        <f t="shared" si="46"/>
        <v>0</v>
      </c>
      <c r="W164" s="193">
        <f t="shared" si="46"/>
        <v>0</v>
      </c>
      <c r="X164" s="193">
        <f t="shared" si="46"/>
        <v>0</v>
      </c>
      <c r="Y164" s="193">
        <f t="shared" si="43"/>
        <v>0</v>
      </c>
      <c r="Z164" s="182"/>
      <c r="AA164" s="182"/>
      <c r="AB164" s="182"/>
      <c r="AC164" s="182"/>
    </row>
    <row r="165" spans="1:29" s="179" customFormat="1">
      <c r="A165" s="182"/>
      <c r="B165" s="182"/>
      <c r="C165" s="182"/>
      <c r="D165" s="182" t="s">
        <v>873</v>
      </c>
      <c r="E165" s="193">
        <f t="shared" si="46"/>
        <v>0</v>
      </c>
      <c r="F165" s="193">
        <f t="shared" si="46"/>
        <v>0</v>
      </c>
      <c r="G165" s="193">
        <f t="shared" si="46"/>
        <v>0</v>
      </c>
      <c r="H165" s="193">
        <f t="shared" si="46"/>
        <v>0</v>
      </c>
      <c r="I165" s="193">
        <f t="shared" si="46"/>
        <v>0</v>
      </c>
      <c r="J165" s="193">
        <f t="shared" si="46"/>
        <v>0</v>
      </c>
      <c r="K165" s="193">
        <f t="shared" si="46"/>
        <v>0</v>
      </c>
      <c r="L165" s="193">
        <f t="shared" si="46"/>
        <v>0</v>
      </c>
      <c r="M165" s="193">
        <f t="shared" si="46"/>
        <v>0</v>
      </c>
      <c r="N165" s="193">
        <f t="shared" si="46"/>
        <v>0</v>
      </c>
      <c r="O165" s="193">
        <f t="shared" si="46"/>
        <v>0</v>
      </c>
      <c r="P165" s="193">
        <f t="shared" si="46"/>
        <v>0</v>
      </c>
      <c r="Q165" s="193">
        <f t="shared" si="46"/>
        <v>0</v>
      </c>
      <c r="R165" s="193">
        <f t="shared" si="46"/>
        <v>0</v>
      </c>
      <c r="S165" s="193">
        <f t="shared" si="46"/>
        <v>0</v>
      </c>
      <c r="T165" s="193">
        <f t="shared" si="46"/>
        <v>0</v>
      </c>
      <c r="U165" s="193">
        <f t="shared" si="46"/>
        <v>0</v>
      </c>
      <c r="V165" s="193">
        <f t="shared" si="46"/>
        <v>0</v>
      </c>
      <c r="W165" s="193">
        <f t="shared" si="46"/>
        <v>0</v>
      </c>
      <c r="X165" s="193">
        <f t="shared" si="46"/>
        <v>0</v>
      </c>
      <c r="Y165" s="193">
        <f t="shared" si="43"/>
        <v>0</v>
      </c>
      <c r="Z165" s="182"/>
      <c r="AA165" s="182"/>
      <c r="AB165" s="182"/>
      <c r="AC165" s="182"/>
    </row>
    <row r="166" spans="1:29" s="179" customFormat="1">
      <c r="A166" s="182"/>
      <c r="B166" s="182"/>
      <c r="C166" s="182"/>
      <c r="D166" s="182" t="s">
        <v>876</v>
      </c>
      <c r="E166" s="193">
        <f t="shared" si="46"/>
        <v>0</v>
      </c>
      <c r="F166" s="193">
        <f t="shared" si="46"/>
        <v>0</v>
      </c>
      <c r="G166" s="193">
        <f t="shared" si="46"/>
        <v>0</v>
      </c>
      <c r="H166" s="193">
        <f t="shared" si="46"/>
        <v>0</v>
      </c>
      <c r="I166" s="193">
        <f t="shared" si="46"/>
        <v>0</v>
      </c>
      <c r="J166" s="193">
        <f t="shared" si="46"/>
        <v>0</v>
      </c>
      <c r="K166" s="193">
        <f t="shared" si="46"/>
        <v>0</v>
      </c>
      <c r="L166" s="193">
        <f t="shared" si="46"/>
        <v>0</v>
      </c>
      <c r="M166" s="193">
        <f t="shared" si="46"/>
        <v>0</v>
      </c>
      <c r="N166" s="193">
        <f t="shared" si="46"/>
        <v>0</v>
      </c>
      <c r="O166" s="193">
        <f t="shared" si="46"/>
        <v>0</v>
      </c>
      <c r="P166" s="193">
        <f t="shared" si="46"/>
        <v>0</v>
      </c>
      <c r="Q166" s="193">
        <f t="shared" si="46"/>
        <v>0</v>
      </c>
      <c r="R166" s="193">
        <f t="shared" si="46"/>
        <v>0</v>
      </c>
      <c r="S166" s="193">
        <f t="shared" si="46"/>
        <v>0</v>
      </c>
      <c r="T166" s="193">
        <f t="shared" si="46"/>
        <v>0</v>
      </c>
      <c r="U166" s="193">
        <f t="shared" si="46"/>
        <v>0</v>
      </c>
      <c r="V166" s="193">
        <f t="shared" si="46"/>
        <v>0</v>
      </c>
      <c r="W166" s="193">
        <f t="shared" si="46"/>
        <v>0</v>
      </c>
      <c r="X166" s="193">
        <f t="shared" si="46"/>
        <v>0</v>
      </c>
      <c r="Y166" s="193">
        <f t="shared" ref="Y166:Y168" si="47">Y129-Y128</f>
        <v>0</v>
      </c>
      <c r="Z166" s="182"/>
      <c r="AA166" s="182"/>
      <c r="AB166" s="182"/>
      <c r="AC166" s="182"/>
    </row>
    <row r="167" spans="1:29" s="179" customFormat="1">
      <c r="A167" s="182"/>
      <c r="B167" s="182"/>
      <c r="C167" s="182"/>
      <c r="D167" s="182" t="s">
        <v>879</v>
      </c>
      <c r="E167" s="193">
        <f t="shared" si="46"/>
        <v>0</v>
      </c>
      <c r="F167" s="193">
        <f t="shared" si="46"/>
        <v>0</v>
      </c>
      <c r="G167" s="193">
        <f t="shared" si="46"/>
        <v>0</v>
      </c>
      <c r="H167" s="193">
        <f t="shared" si="46"/>
        <v>0</v>
      </c>
      <c r="I167" s="193">
        <f t="shared" si="46"/>
        <v>0</v>
      </c>
      <c r="J167" s="193">
        <f t="shared" si="46"/>
        <v>0</v>
      </c>
      <c r="K167" s="193">
        <f t="shared" si="46"/>
        <v>0</v>
      </c>
      <c r="L167" s="193">
        <f t="shared" si="46"/>
        <v>0</v>
      </c>
      <c r="M167" s="193">
        <f t="shared" si="46"/>
        <v>0</v>
      </c>
      <c r="N167" s="193">
        <f t="shared" si="46"/>
        <v>0</v>
      </c>
      <c r="O167" s="193">
        <f t="shared" si="46"/>
        <v>0</v>
      </c>
      <c r="P167" s="193">
        <f t="shared" si="46"/>
        <v>0</v>
      </c>
      <c r="Q167" s="193">
        <f t="shared" si="46"/>
        <v>0</v>
      </c>
      <c r="R167" s="193">
        <f t="shared" si="46"/>
        <v>0</v>
      </c>
      <c r="S167" s="193">
        <f t="shared" si="46"/>
        <v>0</v>
      </c>
      <c r="T167" s="193">
        <f t="shared" si="46"/>
        <v>0</v>
      </c>
      <c r="U167" s="193">
        <f t="shared" si="46"/>
        <v>0</v>
      </c>
      <c r="V167" s="193">
        <f t="shared" si="46"/>
        <v>0</v>
      </c>
      <c r="W167" s="193">
        <f t="shared" si="46"/>
        <v>0</v>
      </c>
      <c r="X167" s="193">
        <f t="shared" si="46"/>
        <v>0</v>
      </c>
      <c r="Y167" s="193">
        <f t="shared" si="47"/>
        <v>0</v>
      </c>
      <c r="Z167" s="182"/>
      <c r="AA167" s="182"/>
      <c r="AB167" s="182"/>
      <c r="AC167" s="182"/>
    </row>
    <row r="168" spans="1:29" s="179" customFormat="1">
      <c r="A168" s="182"/>
      <c r="B168" s="182"/>
      <c r="C168" s="182"/>
      <c r="D168" s="182" t="s">
        <v>882</v>
      </c>
      <c r="E168" s="193">
        <f t="shared" si="46"/>
        <v>-0.3195992019999192</v>
      </c>
      <c r="F168" s="193">
        <f t="shared" si="46"/>
        <v>-0.25442724879794554</v>
      </c>
      <c r="G168" s="193">
        <f t="shared" si="46"/>
        <v>-0.18982829450108341</v>
      </c>
      <c r="H168" s="193">
        <f t="shared" si="46"/>
        <v>-0.12599865041967995</v>
      </c>
      <c r="I168" s="193">
        <f>I131-I130</f>
        <v>0</v>
      </c>
      <c r="J168" s="193">
        <f t="shared" si="46"/>
        <v>0</v>
      </c>
      <c r="K168" s="193">
        <f t="shared" si="46"/>
        <v>0</v>
      </c>
      <c r="L168" s="193">
        <f t="shared" si="46"/>
        <v>0</v>
      </c>
      <c r="M168" s="193">
        <f t="shared" si="46"/>
        <v>0</v>
      </c>
      <c r="N168" s="193">
        <f t="shared" si="46"/>
        <v>0</v>
      </c>
      <c r="O168" s="193">
        <f t="shared" si="46"/>
        <v>0</v>
      </c>
      <c r="P168" s="193">
        <f t="shared" si="46"/>
        <v>0</v>
      </c>
      <c r="Q168" s="193">
        <f t="shared" si="46"/>
        <v>0</v>
      </c>
      <c r="R168" s="193">
        <f t="shared" si="46"/>
        <v>0</v>
      </c>
      <c r="S168" s="193">
        <f t="shared" si="46"/>
        <v>0</v>
      </c>
      <c r="T168" s="193">
        <f t="shared" si="46"/>
        <v>0</v>
      </c>
      <c r="U168" s="193">
        <f t="shared" si="46"/>
        <v>0</v>
      </c>
      <c r="V168" s="193">
        <f t="shared" si="46"/>
        <v>0</v>
      </c>
      <c r="W168" s="193">
        <f t="shared" si="46"/>
        <v>0</v>
      </c>
      <c r="X168" s="193">
        <f t="shared" si="46"/>
        <v>0</v>
      </c>
      <c r="Y168" s="193">
        <f t="shared" si="47"/>
        <v>-1.9183299693115146</v>
      </c>
      <c r="Z168" s="182"/>
      <c r="AA168" s="182"/>
      <c r="AB168" s="182"/>
      <c r="AC168" s="182"/>
    </row>
    <row r="169" spans="1:29" s="179" customFormat="1">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row>
    <row r="170" spans="1:29" s="179" customFormat="1" ht="15">
      <c r="A170" s="182"/>
      <c r="B170" s="182"/>
      <c r="C170" s="182"/>
      <c r="D170" s="238" t="s">
        <v>886</v>
      </c>
      <c r="E170" s="239">
        <f t="shared" ref="E170:X170" si="48">SUM(E137:E168)</f>
        <v>14.792328134119147</v>
      </c>
      <c r="F170" s="239">
        <f t="shared" si="48"/>
        <v>11.775909723583501</v>
      </c>
      <c r="G170" s="239">
        <f t="shared" si="48"/>
        <v>8.7860119919853563</v>
      </c>
      <c r="H170" s="239">
        <f t="shared" si="48"/>
        <v>5.8317210111949622</v>
      </c>
      <c r="I170" s="239">
        <f t="shared" si="48"/>
        <v>0</v>
      </c>
      <c r="J170" s="239">
        <f t="shared" si="48"/>
        <v>0</v>
      </c>
      <c r="K170" s="239">
        <f t="shared" si="48"/>
        <v>0</v>
      </c>
      <c r="L170" s="239">
        <f t="shared" si="48"/>
        <v>0</v>
      </c>
      <c r="M170" s="239">
        <f t="shared" si="48"/>
        <v>0</v>
      </c>
      <c r="N170" s="239">
        <f t="shared" si="48"/>
        <v>0</v>
      </c>
      <c r="O170" s="239">
        <f t="shared" si="48"/>
        <v>0</v>
      </c>
      <c r="P170" s="239">
        <f t="shared" si="48"/>
        <v>0</v>
      </c>
      <c r="Q170" s="239">
        <f t="shared" si="48"/>
        <v>0</v>
      </c>
      <c r="R170" s="239">
        <f t="shared" si="48"/>
        <v>0</v>
      </c>
      <c r="S170" s="239">
        <f t="shared" si="48"/>
        <v>0</v>
      </c>
      <c r="T170" s="239">
        <f t="shared" si="48"/>
        <v>0</v>
      </c>
      <c r="U170" s="239">
        <f t="shared" si="48"/>
        <v>0</v>
      </c>
      <c r="V170" s="239">
        <f t="shared" si="48"/>
        <v>0</v>
      </c>
      <c r="W170" s="239">
        <f t="shared" si="48"/>
        <v>0</v>
      </c>
      <c r="X170" s="239">
        <f t="shared" si="48"/>
        <v>0</v>
      </c>
      <c r="Y170" s="239"/>
      <c r="AA170" s="182"/>
      <c r="AB170" s="182"/>
      <c r="AC170" s="182"/>
    </row>
    <row r="171" spans="1:29" ht="15">
      <c r="D171" s="238" t="s">
        <v>887</v>
      </c>
      <c r="E171" s="239">
        <f>E170</f>
        <v>14.792328134119147</v>
      </c>
      <c r="F171" s="239">
        <f t="shared" ref="F171:X171" si="49">E171+F170</f>
        <v>26.568237857702648</v>
      </c>
      <c r="G171" s="239">
        <f t="shared" si="49"/>
        <v>35.354249849688003</v>
      </c>
      <c r="H171" s="239">
        <f t="shared" si="49"/>
        <v>41.185970860882968</v>
      </c>
      <c r="I171" s="239">
        <f t="shared" si="49"/>
        <v>41.185970860882968</v>
      </c>
      <c r="J171" s="239">
        <f t="shared" si="49"/>
        <v>41.185970860882968</v>
      </c>
      <c r="K171" s="239">
        <f t="shared" si="49"/>
        <v>41.185970860882968</v>
      </c>
      <c r="L171" s="239">
        <f t="shared" si="49"/>
        <v>41.185970860882968</v>
      </c>
      <c r="M171" s="239">
        <f t="shared" si="49"/>
        <v>41.185970860882968</v>
      </c>
      <c r="N171" s="239">
        <f t="shared" si="49"/>
        <v>41.185970860882968</v>
      </c>
      <c r="O171" s="239">
        <f t="shared" si="49"/>
        <v>41.185970860882968</v>
      </c>
      <c r="P171" s="239">
        <f t="shared" si="49"/>
        <v>41.185970860882968</v>
      </c>
      <c r="Q171" s="239">
        <f t="shared" si="49"/>
        <v>41.185970860882968</v>
      </c>
      <c r="R171" s="239">
        <f t="shared" si="49"/>
        <v>41.185970860882968</v>
      </c>
      <c r="S171" s="239">
        <f t="shared" si="49"/>
        <v>41.185970860882968</v>
      </c>
      <c r="T171" s="239">
        <f t="shared" si="49"/>
        <v>41.185970860882968</v>
      </c>
      <c r="U171" s="239">
        <f t="shared" si="49"/>
        <v>41.185970860882968</v>
      </c>
      <c r="V171" s="239">
        <f t="shared" si="49"/>
        <v>41.185970860882968</v>
      </c>
      <c r="W171" s="239">
        <f t="shared" si="49"/>
        <v>41.185970860882968</v>
      </c>
      <c r="X171" s="239">
        <f t="shared" si="49"/>
        <v>41.185970860882968</v>
      </c>
      <c r="Y171" s="239">
        <f>SUM(Y137:Y168)</f>
        <v>88.787976309081984</v>
      </c>
      <c r="Z171" s="179"/>
    </row>
    <row r="172" spans="1:29">
      <c r="E172" s="206"/>
      <c r="F172" s="240"/>
      <c r="G172" s="240"/>
      <c r="H172" s="240"/>
      <c r="I172" s="240"/>
      <c r="J172" s="240"/>
      <c r="K172" s="240"/>
      <c r="L172" s="240"/>
      <c r="M172" s="240"/>
      <c r="N172" s="240"/>
      <c r="O172" s="240"/>
      <c r="P172" s="240"/>
      <c r="Q172" s="240"/>
      <c r="R172" s="240"/>
      <c r="S172" s="240"/>
      <c r="T172" s="240"/>
      <c r="U172" s="240"/>
      <c r="V172" s="240"/>
      <c r="W172" s="240"/>
      <c r="X172" s="240"/>
      <c r="Y172" s="240"/>
      <c r="Z172" s="240"/>
    </row>
    <row r="173" spans="1:29">
      <c r="E173" s="206"/>
      <c r="F173" s="240"/>
      <c r="G173" s="240"/>
      <c r="H173" s="240"/>
      <c r="I173" s="240"/>
      <c r="J173" s="240"/>
      <c r="K173" s="240"/>
      <c r="L173" s="240"/>
      <c r="M173" s="240"/>
      <c r="N173" s="240"/>
      <c r="O173" s="240"/>
      <c r="P173" s="240"/>
      <c r="Q173" s="240"/>
      <c r="R173" s="240"/>
      <c r="S173" s="240"/>
      <c r="T173" s="240"/>
      <c r="U173" s="240"/>
      <c r="V173" s="240"/>
      <c r="W173" s="240"/>
      <c r="X173" s="240"/>
      <c r="Y173" s="240"/>
      <c r="Z173" s="240"/>
    </row>
    <row r="174" spans="1:29" ht="15">
      <c r="A174" s="211" t="str">
        <f>CONCATENATE("ACHIEVABLE SAVINGS - CUMULATIVE BY MILL BIN - FOR MEASURE - ",D175)</f>
        <v>ACHIEVABLE SAVINGS - CUMULATIVE BY MILL BIN - FOR MEASURE - Lighting</v>
      </c>
      <c r="D174" s="182" t="s">
        <v>804</v>
      </c>
      <c r="E174" s="212">
        <f>E135</f>
        <v>2016</v>
      </c>
      <c r="F174" s="213">
        <f t="shared" ref="F174:X174" si="50">F135</f>
        <v>2017</v>
      </c>
      <c r="G174" s="213">
        <f t="shared" si="50"/>
        <v>2018</v>
      </c>
      <c r="H174" s="213">
        <f t="shared" si="50"/>
        <v>2019</v>
      </c>
      <c r="I174" s="213">
        <f t="shared" si="50"/>
        <v>2020</v>
      </c>
      <c r="J174" s="213">
        <f t="shared" si="50"/>
        <v>2021</v>
      </c>
      <c r="K174" s="213">
        <f t="shared" si="50"/>
        <v>2022</v>
      </c>
      <c r="L174" s="213">
        <f t="shared" si="50"/>
        <v>2023</v>
      </c>
      <c r="M174" s="213">
        <f t="shared" si="50"/>
        <v>2024</v>
      </c>
      <c r="N174" s="213">
        <f t="shared" si="50"/>
        <v>2025</v>
      </c>
      <c r="O174" s="213">
        <f t="shared" si="50"/>
        <v>2026</v>
      </c>
      <c r="P174" s="213">
        <f t="shared" si="50"/>
        <v>2027</v>
      </c>
      <c r="Q174" s="213">
        <f t="shared" si="50"/>
        <v>2028</v>
      </c>
      <c r="R174" s="213">
        <f t="shared" si="50"/>
        <v>2029</v>
      </c>
      <c r="S174" s="213">
        <f t="shared" si="50"/>
        <v>2030</v>
      </c>
      <c r="T174" s="213">
        <f t="shared" si="50"/>
        <v>2031</v>
      </c>
      <c r="U174" s="213">
        <f t="shared" si="50"/>
        <v>2032</v>
      </c>
      <c r="V174" s="213">
        <f t="shared" si="50"/>
        <v>2033</v>
      </c>
      <c r="W174" s="213">
        <f t="shared" si="50"/>
        <v>2034</v>
      </c>
      <c r="X174" s="213">
        <f t="shared" si="50"/>
        <v>2035</v>
      </c>
      <c r="Y174" s="214" t="s">
        <v>795</v>
      </c>
    </row>
    <row r="175" spans="1:29" ht="15">
      <c r="D175" s="231" t="str">
        <f>$C$8</f>
        <v>Lighting</v>
      </c>
      <c r="E175" s="215" t="str">
        <f>CONCATENATE("Units_",E$11)</f>
        <v>Units_2016</v>
      </c>
      <c r="F175" s="216" t="str">
        <f t="shared" ref="F175:X175" si="51">CONCATENATE("Units_",F$11)</f>
        <v>Units_2017</v>
      </c>
      <c r="G175" s="216" t="str">
        <f t="shared" si="51"/>
        <v>Units_2018</v>
      </c>
      <c r="H175" s="216" t="str">
        <f t="shared" si="51"/>
        <v>Units_2019</v>
      </c>
      <c r="I175" s="216" t="str">
        <f t="shared" si="51"/>
        <v>Units_2020</v>
      </c>
      <c r="J175" s="216" t="str">
        <f t="shared" si="51"/>
        <v>Units_2021</v>
      </c>
      <c r="K175" s="216" t="str">
        <f t="shared" si="51"/>
        <v>Units_2022</v>
      </c>
      <c r="L175" s="216" t="str">
        <f t="shared" si="51"/>
        <v>Units_2023</v>
      </c>
      <c r="M175" s="216" t="str">
        <f t="shared" si="51"/>
        <v>Units_2024</v>
      </c>
      <c r="N175" s="216" t="str">
        <f t="shared" si="51"/>
        <v>Units_2025</v>
      </c>
      <c r="O175" s="216" t="str">
        <f t="shared" si="51"/>
        <v>Units_2026</v>
      </c>
      <c r="P175" s="216" t="str">
        <f t="shared" si="51"/>
        <v>Units_2027</v>
      </c>
      <c r="Q175" s="216" t="str">
        <f t="shared" si="51"/>
        <v>Units_2028</v>
      </c>
      <c r="R175" s="216" t="str">
        <f t="shared" si="51"/>
        <v>Units_2029</v>
      </c>
      <c r="S175" s="216" t="str">
        <f t="shared" si="51"/>
        <v>Units_2030</v>
      </c>
      <c r="T175" s="216" t="str">
        <f t="shared" si="51"/>
        <v>Units_2031</v>
      </c>
      <c r="U175" s="216" t="str">
        <f t="shared" si="51"/>
        <v>Units_2032</v>
      </c>
      <c r="V175" s="216" t="str">
        <f t="shared" si="51"/>
        <v>Units_2033</v>
      </c>
      <c r="W175" s="216" t="str">
        <f t="shared" si="51"/>
        <v>Units_2034</v>
      </c>
      <c r="X175" s="216" t="str">
        <f t="shared" si="51"/>
        <v>Units_2035</v>
      </c>
      <c r="Y175" s="217" t="s">
        <v>795</v>
      </c>
    </row>
    <row r="176" spans="1:29">
      <c r="D176" s="182" t="s">
        <v>715</v>
      </c>
      <c r="E176" s="241">
        <f t="shared" ref="E176:E207" si="52">E137</f>
        <v>15.111927336119066</v>
      </c>
      <c r="F176" s="242">
        <f t="shared" ref="F176:X189" si="53">E176+F137</f>
        <v>27.142264308500515</v>
      </c>
      <c r="G176" s="242">
        <f t="shared" si="53"/>
        <v>36.118104594986953</v>
      </c>
      <c r="H176" s="242">
        <f t="shared" si="53"/>
        <v>42.075824256601592</v>
      </c>
      <c r="I176" s="242">
        <f t="shared" si="53"/>
        <v>42.075824256601592</v>
      </c>
      <c r="J176" s="242">
        <f t="shared" si="53"/>
        <v>42.075824256601592</v>
      </c>
      <c r="K176" s="242">
        <f t="shared" si="53"/>
        <v>42.075824256601592</v>
      </c>
      <c r="L176" s="242">
        <f t="shared" si="53"/>
        <v>42.075824256601592</v>
      </c>
      <c r="M176" s="242">
        <f t="shared" si="53"/>
        <v>42.075824256601592</v>
      </c>
      <c r="N176" s="242">
        <f t="shared" si="53"/>
        <v>42.075824256601592</v>
      </c>
      <c r="O176" s="242">
        <f t="shared" si="53"/>
        <v>42.075824256601592</v>
      </c>
      <c r="P176" s="242">
        <f t="shared" si="53"/>
        <v>42.075824256601592</v>
      </c>
      <c r="Q176" s="242">
        <f t="shared" si="53"/>
        <v>42.075824256601592</v>
      </c>
      <c r="R176" s="242">
        <f t="shared" si="53"/>
        <v>42.075824256601592</v>
      </c>
      <c r="S176" s="242">
        <f t="shared" si="53"/>
        <v>42.075824256601592</v>
      </c>
      <c r="T176" s="242">
        <f t="shared" si="53"/>
        <v>42.075824256601592</v>
      </c>
      <c r="U176" s="242">
        <f t="shared" si="53"/>
        <v>42.075824256601592</v>
      </c>
      <c r="V176" s="242">
        <f t="shared" si="53"/>
        <v>42.075824256601592</v>
      </c>
      <c r="W176" s="242">
        <f t="shared" si="53"/>
        <v>42.075824256601592</v>
      </c>
      <c r="X176" s="242">
        <f t="shared" si="53"/>
        <v>42.075824256601592</v>
      </c>
      <c r="Y176" s="242">
        <f>Y137</f>
        <v>90.706306278393498</v>
      </c>
    </row>
    <row r="177" spans="4:25">
      <c r="D177" s="182" t="s">
        <v>716</v>
      </c>
      <c r="E177" s="241">
        <f t="shared" si="52"/>
        <v>0</v>
      </c>
      <c r="F177" s="242">
        <f t="shared" si="53"/>
        <v>0</v>
      </c>
      <c r="G177" s="242">
        <f t="shared" si="53"/>
        <v>0</v>
      </c>
      <c r="H177" s="242">
        <f t="shared" si="53"/>
        <v>0</v>
      </c>
      <c r="I177" s="242">
        <f t="shared" si="53"/>
        <v>0</v>
      </c>
      <c r="J177" s="242">
        <f t="shared" si="53"/>
        <v>0</v>
      </c>
      <c r="K177" s="242">
        <f t="shared" si="53"/>
        <v>0</v>
      </c>
      <c r="L177" s="242">
        <f t="shared" si="53"/>
        <v>0</v>
      </c>
      <c r="M177" s="242">
        <f t="shared" si="53"/>
        <v>0</v>
      </c>
      <c r="N177" s="242">
        <f t="shared" si="53"/>
        <v>0</v>
      </c>
      <c r="O177" s="242">
        <f t="shared" si="53"/>
        <v>0</v>
      </c>
      <c r="P177" s="242">
        <f t="shared" si="53"/>
        <v>0</v>
      </c>
      <c r="Q177" s="242">
        <f t="shared" si="53"/>
        <v>0</v>
      </c>
      <c r="R177" s="242">
        <f t="shared" si="53"/>
        <v>0</v>
      </c>
      <c r="S177" s="242">
        <f t="shared" si="53"/>
        <v>0</v>
      </c>
      <c r="T177" s="242">
        <f t="shared" si="53"/>
        <v>0</v>
      </c>
      <c r="U177" s="242">
        <f t="shared" si="53"/>
        <v>0</v>
      </c>
      <c r="V177" s="242">
        <f t="shared" si="53"/>
        <v>0</v>
      </c>
      <c r="W177" s="242">
        <f t="shared" si="53"/>
        <v>0</v>
      </c>
      <c r="X177" s="242">
        <f t="shared" si="53"/>
        <v>0</v>
      </c>
      <c r="Y177" s="242">
        <f t="shared" ref="Y177:Y207" si="54">Y138</f>
        <v>0</v>
      </c>
    </row>
    <row r="178" spans="4:25">
      <c r="D178" s="182" t="s">
        <v>717</v>
      </c>
      <c r="E178" s="241">
        <f t="shared" si="52"/>
        <v>0</v>
      </c>
      <c r="F178" s="242">
        <f t="shared" si="53"/>
        <v>0</v>
      </c>
      <c r="G178" s="242">
        <f t="shared" si="53"/>
        <v>0</v>
      </c>
      <c r="H178" s="242">
        <f t="shared" si="53"/>
        <v>0</v>
      </c>
      <c r="I178" s="242">
        <f t="shared" si="53"/>
        <v>0</v>
      </c>
      <c r="J178" s="242">
        <f t="shared" si="53"/>
        <v>0</v>
      </c>
      <c r="K178" s="242">
        <f t="shared" si="53"/>
        <v>0</v>
      </c>
      <c r="L178" s="242">
        <f t="shared" si="53"/>
        <v>0</v>
      </c>
      <c r="M178" s="242">
        <f t="shared" si="53"/>
        <v>0</v>
      </c>
      <c r="N178" s="242">
        <f t="shared" si="53"/>
        <v>0</v>
      </c>
      <c r="O178" s="242">
        <f t="shared" si="53"/>
        <v>0</v>
      </c>
      <c r="P178" s="242">
        <f t="shared" si="53"/>
        <v>0</v>
      </c>
      <c r="Q178" s="242">
        <f t="shared" si="53"/>
        <v>0</v>
      </c>
      <c r="R178" s="242">
        <f t="shared" si="53"/>
        <v>0</v>
      </c>
      <c r="S178" s="242">
        <f t="shared" si="53"/>
        <v>0</v>
      </c>
      <c r="T178" s="242">
        <f t="shared" si="53"/>
        <v>0</v>
      </c>
      <c r="U178" s="242">
        <f t="shared" si="53"/>
        <v>0</v>
      </c>
      <c r="V178" s="242">
        <f t="shared" si="53"/>
        <v>0</v>
      </c>
      <c r="W178" s="242">
        <f t="shared" si="53"/>
        <v>0</v>
      </c>
      <c r="X178" s="242">
        <f t="shared" si="53"/>
        <v>0</v>
      </c>
      <c r="Y178" s="242">
        <f t="shared" si="54"/>
        <v>0</v>
      </c>
    </row>
    <row r="179" spans="4:25">
      <c r="D179" s="182" t="s">
        <v>718</v>
      </c>
      <c r="E179" s="241">
        <f t="shared" si="52"/>
        <v>0</v>
      </c>
      <c r="F179" s="242">
        <f t="shared" si="53"/>
        <v>0</v>
      </c>
      <c r="G179" s="242">
        <f t="shared" si="53"/>
        <v>0</v>
      </c>
      <c r="H179" s="242">
        <f t="shared" si="53"/>
        <v>0</v>
      </c>
      <c r="I179" s="242">
        <f t="shared" si="53"/>
        <v>0</v>
      </c>
      <c r="J179" s="242">
        <f t="shared" si="53"/>
        <v>0</v>
      </c>
      <c r="K179" s="242">
        <f t="shared" si="53"/>
        <v>0</v>
      </c>
      <c r="L179" s="242">
        <f t="shared" si="53"/>
        <v>0</v>
      </c>
      <c r="M179" s="242">
        <f t="shared" si="53"/>
        <v>0</v>
      </c>
      <c r="N179" s="242">
        <f t="shared" si="53"/>
        <v>0</v>
      </c>
      <c r="O179" s="242">
        <f t="shared" si="53"/>
        <v>0</v>
      </c>
      <c r="P179" s="242">
        <f t="shared" si="53"/>
        <v>0</v>
      </c>
      <c r="Q179" s="242">
        <f t="shared" si="53"/>
        <v>0</v>
      </c>
      <c r="R179" s="242">
        <f t="shared" si="53"/>
        <v>0</v>
      </c>
      <c r="S179" s="242">
        <f t="shared" si="53"/>
        <v>0</v>
      </c>
      <c r="T179" s="242">
        <f t="shared" si="53"/>
        <v>0</v>
      </c>
      <c r="U179" s="242">
        <f t="shared" si="53"/>
        <v>0</v>
      </c>
      <c r="V179" s="242">
        <f t="shared" si="53"/>
        <v>0</v>
      </c>
      <c r="W179" s="242">
        <f t="shared" si="53"/>
        <v>0</v>
      </c>
      <c r="X179" s="242">
        <f t="shared" si="53"/>
        <v>0</v>
      </c>
      <c r="Y179" s="242">
        <f t="shared" si="54"/>
        <v>0</v>
      </c>
    </row>
    <row r="180" spans="4:25">
      <c r="D180" s="182" t="s">
        <v>719</v>
      </c>
      <c r="E180" s="241">
        <f t="shared" si="52"/>
        <v>0</v>
      </c>
      <c r="F180" s="242">
        <f t="shared" si="53"/>
        <v>0</v>
      </c>
      <c r="G180" s="242">
        <f t="shared" si="53"/>
        <v>0</v>
      </c>
      <c r="H180" s="242">
        <f t="shared" si="53"/>
        <v>0</v>
      </c>
      <c r="I180" s="242">
        <f t="shared" si="53"/>
        <v>0</v>
      </c>
      <c r="J180" s="242">
        <f t="shared" si="53"/>
        <v>0</v>
      </c>
      <c r="K180" s="242">
        <f t="shared" si="53"/>
        <v>0</v>
      </c>
      <c r="L180" s="242">
        <f t="shared" si="53"/>
        <v>0</v>
      </c>
      <c r="M180" s="242">
        <f t="shared" si="53"/>
        <v>0</v>
      </c>
      <c r="N180" s="242">
        <f t="shared" si="53"/>
        <v>0</v>
      </c>
      <c r="O180" s="242">
        <f t="shared" si="53"/>
        <v>0</v>
      </c>
      <c r="P180" s="242">
        <f t="shared" si="53"/>
        <v>0</v>
      </c>
      <c r="Q180" s="242">
        <f t="shared" si="53"/>
        <v>0</v>
      </c>
      <c r="R180" s="242">
        <f t="shared" si="53"/>
        <v>0</v>
      </c>
      <c r="S180" s="242">
        <f t="shared" si="53"/>
        <v>0</v>
      </c>
      <c r="T180" s="242">
        <f t="shared" si="53"/>
        <v>0</v>
      </c>
      <c r="U180" s="242">
        <f t="shared" si="53"/>
        <v>0</v>
      </c>
      <c r="V180" s="242">
        <f t="shared" si="53"/>
        <v>0</v>
      </c>
      <c r="W180" s="242">
        <f t="shared" si="53"/>
        <v>0</v>
      </c>
      <c r="X180" s="242">
        <f t="shared" si="53"/>
        <v>0</v>
      </c>
      <c r="Y180" s="242">
        <f t="shared" si="54"/>
        <v>0</v>
      </c>
    </row>
    <row r="181" spans="4:25">
      <c r="D181" s="182" t="s">
        <v>720</v>
      </c>
      <c r="E181" s="241">
        <f t="shared" si="52"/>
        <v>0</v>
      </c>
      <c r="F181" s="242">
        <f t="shared" si="53"/>
        <v>0</v>
      </c>
      <c r="G181" s="242">
        <f t="shared" si="53"/>
        <v>0</v>
      </c>
      <c r="H181" s="242">
        <f t="shared" si="53"/>
        <v>0</v>
      </c>
      <c r="I181" s="242">
        <f t="shared" si="53"/>
        <v>0</v>
      </c>
      <c r="J181" s="242">
        <f t="shared" si="53"/>
        <v>0</v>
      </c>
      <c r="K181" s="242">
        <f t="shared" si="53"/>
        <v>0</v>
      </c>
      <c r="L181" s="242">
        <f t="shared" si="53"/>
        <v>0</v>
      </c>
      <c r="M181" s="242">
        <f t="shared" si="53"/>
        <v>0</v>
      </c>
      <c r="N181" s="242">
        <f t="shared" si="53"/>
        <v>0</v>
      </c>
      <c r="O181" s="242">
        <f t="shared" si="53"/>
        <v>0</v>
      </c>
      <c r="P181" s="242">
        <f t="shared" si="53"/>
        <v>0</v>
      </c>
      <c r="Q181" s="242">
        <f t="shared" si="53"/>
        <v>0</v>
      </c>
      <c r="R181" s="242">
        <f t="shared" si="53"/>
        <v>0</v>
      </c>
      <c r="S181" s="242">
        <f t="shared" si="53"/>
        <v>0</v>
      </c>
      <c r="T181" s="242">
        <f t="shared" si="53"/>
        <v>0</v>
      </c>
      <c r="U181" s="242">
        <f t="shared" si="53"/>
        <v>0</v>
      </c>
      <c r="V181" s="242">
        <f t="shared" si="53"/>
        <v>0</v>
      </c>
      <c r="W181" s="242">
        <f t="shared" si="53"/>
        <v>0</v>
      </c>
      <c r="X181" s="242">
        <f t="shared" si="53"/>
        <v>0</v>
      </c>
      <c r="Y181" s="242">
        <f t="shared" si="54"/>
        <v>0</v>
      </c>
    </row>
    <row r="182" spans="4:25">
      <c r="D182" s="182" t="s">
        <v>721</v>
      </c>
      <c r="E182" s="241">
        <f t="shared" si="52"/>
        <v>0</v>
      </c>
      <c r="F182" s="243">
        <f t="shared" si="53"/>
        <v>0</v>
      </c>
      <c r="G182" s="243">
        <f t="shared" si="53"/>
        <v>0</v>
      </c>
      <c r="H182" s="243">
        <f t="shared" si="53"/>
        <v>0</v>
      </c>
      <c r="I182" s="243">
        <f t="shared" si="53"/>
        <v>0</v>
      </c>
      <c r="J182" s="243">
        <f t="shared" si="53"/>
        <v>0</v>
      </c>
      <c r="K182" s="243">
        <f t="shared" si="53"/>
        <v>0</v>
      </c>
      <c r="L182" s="243">
        <f t="shared" si="53"/>
        <v>0</v>
      </c>
      <c r="M182" s="243">
        <f t="shared" si="53"/>
        <v>0</v>
      </c>
      <c r="N182" s="243">
        <f t="shared" si="53"/>
        <v>0</v>
      </c>
      <c r="O182" s="243">
        <f t="shared" si="53"/>
        <v>0</v>
      </c>
      <c r="P182" s="243">
        <f t="shared" si="53"/>
        <v>0</v>
      </c>
      <c r="Q182" s="243">
        <f t="shared" si="53"/>
        <v>0</v>
      </c>
      <c r="R182" s="243">
        <f t="shared" si="53"/>
        <v>0</v>
      </c>
      <c r="S182" s="243">
        <f t="shared" si="53"/>
        <v>0</v>
      </c>
      <c r="T182" s="243">
        <f t="shared" si="53"/>
        <v>0</v>
      </c>
      <c r="U182" s="243">
        <f t="shared" si="53"/>
        <v>0</v>
      </c>
      <c r="V182" s="243">
        <f t="shared" si="53"/>
        <v>0</v>
      </c>
      <c r="W182" s="243">
        <f t="shared" si="53"/>
        <v>0</v>
      </c>
      <c r="X182" s="243">
        <f t="shared" si="53"/>
        <v>0</v>
      </c>
      <c r="Y182" s="242">
        <f t="shared" si="54"/>
        <v>0</v>
      </c>
    </row>
    <row r="183" spans="4:25">
      <c r="D183" s="182" t="s">
        <v>722</v>
      </c>
      <c r="E183" s="241">
        <f t="shared" si="52"/>
        <v>0</v>
      </c>
      <c r="F183" s="243">
        <f t="shared" si="53"/>
        <v>0</v>
      </c>
      <c r="G183" s="243">
        <f t="shared" si="53"/>
        <v>0</v>
      </c>
      <c r="H183" s="243">
        <f t="shared" si="53"/>
        <v>0</v>
      </c>
      <c r="I183" s="243">
        <f t="shared" si="53"/>
        <v>0</v>
      </c>
      <c r="J183" s="243">
        <f t="shared" si="53"/>
        <v>0</v>
      </c>
      <c r="K183" s="243">
        <f t="shared" si="53"/>
        <v>0</v>
      </c>
      <c r="L183" s="243">
        <f t="shared" si="53"/>
        <v>0</v>
      </c>
      <c r="M183" s="243">
        <f t="shared" si="53"/>
        <v>0</v>
      </c>
      <c r="N183" s="243">
        <f t="shared" si="53"/>
        <v>0</v>
      </c>
      <c r="O183" s="243">
        <f t="shared" si="53"/>
        <v>0</v>
      </c>
      <c r="P183" s="243">
        <f t="shared" si="53"/>
        <v>0</v>
      </c>
      <c r="Q183" s="243">
        <f t="shared" si="53"/>
        <v>0</v>
      </c>
      <c r="R183" s="243">
        <f t="shared" si="53"/>
        <v>0</v>
      </c>
      <c r="S183" s="243">
        <f t="shared" si="53"/>
        <v>0</v>
      </c>
      <c r="T183" s="243">
        <f t="shared" si="53"/>
        <v>0</v>
      </c>
      <c r="U183" s="243">
        <f t="shared" si="53"/>
        <v>0</v>
      </c>
      <c r="V183" s="243">
        <f t="shared" si="53"/>
        <v>0</v>
      </c>
      <c r="W183" s="243">
        <f t="shared" si="53"/>
        <v>0</v>
      </c>
      <c r="X183" s="243">
        <f t="shared" si="53"/>
        <v>0</v>
      </c>
      <c r="Y183" s="242">
        <f t="shared" si="54"/>
        <v>0</v>
      </c>
    </row>
    <row r="184" spans="4:25">
      <c r="D184" s="182" t="s">
        <v>723</v>
      </c>
      <c r="E184" s="241">
        <f t="shared" si="52"/>
        <v>0</v>
      </c>
      <c r="F184" s="243">
        <f t="shared" si="53"/>
        <v>0</v>
      </c>
      <c r="G184" s="243">
        <f t="shared" si="53"/>
        <v>0</v>
      </c>
      <c r="H184" s="243">
        <f t="shared" si="53"/>
        <v>0</v>
      </c>
      <c r="I184" s="243">
        <f t="shared" si="53"/>
        <v>0</v>
      </c>
      <c r="J184" s="243">
        <f t="shared" si="53"/>
        <v>0</v>
      </c>
      <c r="K184" s="243">
        <f t="shared" si="53"/>
        <v>0</v>
      </c>
      <c r="L184" s="243">
        <f t="shared" si="53"/>
        <v>0</v>
      </c>
      <c r="M184" s="243">
        <f t="shared" si="53"/>
        <v>0</v>
      </c>
      <c r="N184" s="243">
        <f t="shared" si="53"/>
        <v>0</v>
      </c>
      <c r="O184" s="243">
        <f t="shared" si="53"/>
        <v>0</v>
      </c>
      <c r="P184" s="243">
        <f t="shared" si="53"/>
        <v>0</v>
      </c>
      <c r="Q184" s="243">
        <f t="shared" si="53"/>
        <v>0</v>
      </c>
      <c r="R184" s="243">
        <f t="shared" si="53"/>
        <v>0</v>
      </c>
      <c r="S184" s="243">
        <f t="shared" si="53"/>
        <v>0</v>
      </c>
      <c r="T184" s="243">
        <f t="shared" si="53"/>
        <v>0</v>
      </c>
      <c r="U184" s="243">
        <f t="shared" si="53"/>
        <v>0</v>
      </c>
      <c r="V184" s="243">
        <f t="shared" si="53"/>
        <v>0</v>
      </c>
      <c r="W184" s="243">
        <f t="shared" si="53"/>
        <v>0</v>
      </c>
      <c r="X184" s="243">
        <f t="shared" si="53"/>
        <v>0</v>
      </c>
      <c r="Y184" s="242">
        <f t="shared" si="54"/>
        <v>0</v>
      </c>
    </row>
    <row r="185" spans="4:25">
      <c r="D185" s="182" t="s">
        <v>724</v>
      </c>
      <c r="E185" s="241">
        <f t="shared" si="52"/>
        <v>0</v>
      </c>
      <c r="F185" s="243">
        <f t="shared" si="53"/>
        <v>0</v>
      </c>
      <c r="G185" s="243">
        <f t="shared" si="53"/>
        <v>0</v>
      </c>
      <c r="H185" s="243">
        <f t="shared" si="53"/>
        <v>0</v>
      </c>
      <c r="I185" s="243">
        <f t="shared" si="53"/>
        <v>0</v>
      </c>
      <c r="J185" s="243">
        <f t="shared" si="53"/>
        <v>0</v>
      </c>
      <c r="K185" s="243">
        <f t="shared" si="53"/>
        <v>0</v>
      </c>
      <c r="L185" s="243">
        <f t="shared" si="53"/>
        <v>0</v>
      </c>
      <c r="M185" s="243">
        <f t="shared" si="53"/>
        <v>0</v>
      </c>
      <c r="N185" s="243">
        <f t="shared" si="53"/>
        <v>0</v>
      </c>
      <c r="O185" s="243">
        <f t="shared" si="53"/>
        <v>0</v>
      </c>
      <c r="P185" s="243">
        <f t="shared" si="53"/>
        <v>0</v>
      </c>
      <c r="Q185" s="243">
        <f t="shared" si="53"/>
        <v>0</v>
      </c>
      <c r="R185" s="243">
        <f t="shared" si="53"/>
        <v>0</v>
      </c>
      <c r="S185" s="243">
        <f t="shared" si="53"/>
        <v>0</v>
      </c>
      <c r="T185" s="243">
        <f t="shared" si="53"/>
        <v>0</v>
      </c>
      <c r="U185" s="243">
        <f t="shared" si="53"/>
        <v>0</v>
      </c>
      <c r="V185" s="243">
        <f t="shared" si="53"/>
        <v>0</v>
      </c>
      <c r="W185" s="243">
        <f t="shared" si="53"/>
        <v>0</v>
      </c>
      <c r="X185" s="243">
        <f t="shared" si="53"/>
        <v>0</v>
      </c>
      <c r="Y185" s="242">
        <f t="shared" si="54"/>
        <v>0</v>
      </c>
    </row>
    <row r="186" spans="4:25">
      <c r="D186" s="182" t="s">
        <v>725</v>
      </c>
      <c r="E186" s="241">
        <f t="shared" si="52"/>
        <v>0</v>
      </c>
      <c r="F186" s="243">
        <f t="shared" si="53"/>
        <v>0</v>
      </c>
      <c r="G186" s="243">
        <f t="shared" si="53"/>
        <v>0</v>
      </c>
      <c r="H186" s="243">
        <f t="shared" si="53"/>
        <v>0</v>
      </c>
      <c r="I186" s="243">
        <f t="shared" si="53"/>
        <v>0</v>
      </c>
      <c r="J186" s="243">
        <f t="shared" si="53"/>
        <v>0</v>
      </c>
      <c r="K186" s="243">
        <f t="shared" si="53"/>
        <v>0</v>
      </c>
      <c r="L186" s="243">
        <f t="shared" si="53"/>
        <v>0</v>
      </c>
      <c r="M186" s="243">
        <f t="shared" si="53"/>
        <v>0</v>
      </c>
      <c r="N186" s="243">
        <f t="shared" si="53"/>
        <v>0</v>
      </c>
      <c r="O186" s="243">
        <f t="shared" si="53"/>
        <v>0</v>
      </c>
      <c r="P186" s="243">
        <f t="shared" si="53"/>
        <v>0</v>
      </c>
      <c r="Q186" s="243">
        <f t="shared" si="53"/>
        <v>0</v>
      </c>
      <c r="R186" s="243">
        <f t="shared" si="53"/>
        <v>0</v>
      </c>
      <c r="S186" s="243">
        <f t="shared" si="53"/>
        <v>0</v>
      </c>
      <c r="T186" s="243">
        <f t="shared" si="53"/>
        <v>0</v>
      </c>
      <c r="U186" s="243">
        <f t="shared" si="53"/>
        <v>0</v>
      </c>
      <c r="V186" s="243">
        <f t="shared" si="53"/>
        <v>0</v>
      </c>
      <c r="W186" s="243">
        <f t="shared" si="53"/>
        <v>0</v>
      </c>
      <c r="X186" s="243">
        <f t="shared" si="53"/>
        <v>0</v>
      </c>
      <c r="Y186" s="242">
        <f t="shared" si="54"/>
        <v>0</v>
      </c>
    </row>
    <row r="187" spans="4:25">
      <c r="D187" s="182" t="s">
        <v>726</v>
      </c>
      <c r="E187" s="241">
        <f t="shared" si="52"/>
        <v>0</v>
      </c>
      <c r="F187" s="243">
        <f t="shared" si="53"/>
        <v>0</v>
      </c>
      <c r="G187" s="243">
        <f t="shared" si="53"/>
        <v>0</v>
      </c>
      <c r="H187" s="243">
        <f t="shared" si="53"/>
        <v>0</v>
      </c>
      <c r="I187" s="243">
        <f t="shared" si="53"/>
        <v>0</v>
      </c>
      <c r="J187" s="243">
        <f t="shared" si="53"/>
        <v>0</v>
      </c>
      <c r="K187" s="243">
        <f t="shared" si="53"/>
        <v>0</v>
      </c>
      <c r="L187" s="243">
        <f t="shared" si="53"/>
        <v>0</v>
      </c>
      <c r="M187" s="243">
        <f t="shared" si="53"/>
        <v>0</v>
      </c>
      <c r="N187" s="243">
        <f t="shared" si="53"/>
        <v>0</v>
      </c>
      <c r="O187" s="243">
        <f t="shared" si="53"/>
        <v>0</v>
      </c>
      <c r="P187" s="243">
        <f t="shared" si="53"/>
        <v>0</v>
      </c>
      <c r="Q187" s="243">
        <f t="shared" si="53"/>
        <v>0</v>
      </c>
      <c r="R187" s="243">
        <f t="shared" si="53"/>
        <v>0</v>
      </c>
      <c r="S187" s="243">
        <f t="shared" si="53"/>
        <v>0</v>
      </c>
      <c r="T187" s="243">
        <f t="shared" si="53"/>
        <v>0</v>
      </c>
      <c r="U187" s="243">
        <f t="shared" si="53"/>
        <v>0</v>
      </c>
      <c r="V187" s="243">
        <f t="shared" si="53"/>
        <v>0</v>
      </c>
      <c r="W187" s="243">
        <f t="shared" si="53"/>
        <v>0</v>
      </c>
      <c r="X187" s="243">
        <f t="shared" si="53"/>
        <v>0</v>
      </c>
      <c r="Y187" s="242">
        <f t="shared" si="54"/>
        <v>0</v>
      </c>
    </row>
    <row r="188" spans="4:25">
      <c r="D188" s="182" t="s">
        <v>727</v>
      </c>
      <c r="E188" s="241">
        <f t="shared" si="52"/>
        <v>0</v>
      </c>
      <c r="F188" s="243">
        <f t="shared" si="53"/>
        <v>0</v>
      </c>
      <c r="G188" s="243">
        <f t="shared" si="53"/>
        <v>0</v>
      </c>
      <c r="H188" s="243">
        <f t="shared" si="53"/>
        <v>0</v>
      </c>
      <c r="I188" s="243">
        <f t="shared" si="53"/>
        <v>0</v>
      </c>
      <c r="J188" s="243">
        <f t="shared" si="53"/>
        <v>0</v>
      </c>
      <c r="K188" s="243">
        <f t="shared" si="53"/>
        <v>0</v>
      </c>
      <c r="L188" s="243">
        <f t="shared" si="53"/>
        <v>0</v>
      </c>
      <c r="M188" s="243">
        <f t="shared" si="53"/>
        <v>0</v>
      </c>
      <c r="N188" s="243">
        <f t="shared" si="53"/>
        <v>0</v>
      </c>
      <c r="O188" s="243">
        <f t="shared" si="53"/>
        <v>0</v>
      </c>
      <c r="P188" s="243">
        <f t="shared" si="53"/>
        <v>0</v>
      </c>
      <c r="Q188" s="243">
        <f t="shared" si="53"/>
        <v>0</v>
      </c>
      <c r="R188" s="243">
        <f t="shared" si="53"/>
        <v>0</v>
      </c>
      <c r="S188" s="243">
        <f t="shared" si="53"/>
        <v>0</v>
      </c>
      <c r="T188" s="243">
        <f t="shared" si="53"/>
        <v>0</v>
      </c>
      <c r="U188" s="243">
        <f t="shared" si="53"/>
        <v>0</v>
      </c>
      <c r="V188" s="243">
        <f t="shared" si="53"/>
        <v>0</v>
      </c>
      <c r="W188" s="243">
        <f t="shared" si="53"/>
        <v>0</v>
      </c>
      <c r="X188" s="243">
        <f t="shared" si="53"/>
        <v>0</v>
      </c>
      <c r="Y188" s="242">
        <f t="shared" si="54"/>
        <v>0</v>
      </c>
    </row>
    <row r="189" spans="4:25">
      <c r="D189" s="182" t="s">
        <v>728</v>
      </c>
      <c r="E189" s="241">
        <f t="shared" si="52"/>
        <v>0</v>
      </c>
      <c r="F189" s="243">
        <f t="shared" si="53"/>
        <v>0</v>
      </c>
      <c r="G189" s="243">
        <f t="shared" si="53"/>
        <v>0</v>
      </c>
      <c r="H189" s="243">
        <f t="shared" si="53"/>
        <v>0</v>
      </c>
      <c r="I189" s="243">
        <f t="shared" si="53"/>
        <v>0</v>
      </c>
      <c r="J189" s="243">
        <f t="shared" si="53"/>
        <v>0</v>
      </c>
      <c r="K189" s="243">
        <f t="shared" si="53"/>
        <v>0</v>
      </c>
      <c r="L189" s="243">
        <f t="shared" si="53"/>
        <v>0</v>
      </c>
      <c r="M189" s="243">
        <f t="shared" si="53"/>
        <v>0</v>
      </c>
      <c r="N189" s="243">
        <f t="shared" ref="N189:X204" si="55">M189+N150</f>
        <v>0</v>
      </c>
      <c r="O189" s="243">
        <f t="shared" si="55"/>
        <v>0</v>
      </c>
      <c r="P189" s="243">
        <f t="shared" si="55"/>
        <v>0</v>
      </c>
      <c r="Q189" s="243">
        <f t="shared" si="55"/>
        <v>0</v>
      </c>
      <c r="R189" s="243">
        <f t="shared" si="55"/>
        <v>0</v>
      </c>
      <c r="S189" s="243">
        <f t="shared" si="55"/>
        <v>0</v>
      </c>
      <c r="T189" s="243">
        <f t="shared" si="55"/>
        <v>0</v>
      </c>
      <c r="U189" s="243">
        <f t="shared" si="55"/>
        <v>0</v>
      </c>
      <c r="V189" s="243">
        <f t="shared" si="55"/>
        <v>0</v>
      </c>
      <c r="W189" s="243">
        <f t="shared" si="55"/>
        <v>0</v>
      </c>
      <c r="X189" s="243">
        <f t="shared" si="55"/>
        <v>0</v>
      </c>
      <c r="Y189" s="242">
        <f t="shared" si="54"/>
        <v>0</v>
      </c>
    </row>
    <row r="190" spans="4:25">
      <c r="D190" s="182" t="s">
        <v>729</v>
      </c>
      <c r="E190" s="241">
        <f t="shared" si="52"/>
        <v>0</v>
      </c>
      <c r="F190" s="243">
        <f t="shared" ref="F190:U205" si="56">E190+F151</f>
        <v>0</v>
      </c>
      <c r="G190" s="243">
        <f t="shared" si="56"/>
        <v>0</v>
      </c>
      <c r="H190" s="243">
        <f t="shared" si="56"/>
        <v>0</v>
      </c>
      <c r="I190" s="243">
        <f t="shared" si="56"/>
        <v>0</v>
      </c>
      <c r="J190" s="243">
        <f t="shared" si="56"/>
        <v>0</v>
      </c>
      <c r="K190" s="243">
        <f t="shared" si="56"/>
        <v>0</v>
      </c>
      <c r="L190" s="243">
        <f t="shared" si="56"/>
        <v>0</v>
      </c>
      <c r="M190" s="243">
        <f t="shared" si="56"/>
        <v>0</v>
      </c>
      <c r="N190" s="243">
        <f t="shared" si="55"/>
        <v>0</v>
      </c>
      <c r="O190" s="243">
        <f t="shared" si="55"/>
        <v>0</v>
      </c>
      <c r="P190" s="243">
        <f t="shared" si="55"/>
        <v>0</v>
      </c>
      <c r="Q190" s="243">
        <f t="shared" si="55"/>
        <v>0</v>
      </c>
      <c r="R190" s="243">
        <f t="shared" si="55"/>
        <v>0</v>
      </c>
      <c r="S190" s="243">
        <f t="shared" si="55"/>
        <v>0</v>
      </c>
      <c r="T190" s="243">
        <f t="shared" si="55"/>
        <v>0</v>
      </c>
      <c r="U190" s="243">
        <f t="shared" si="55"/>
        <v>0</v>
      </c>
      <c r="V190" s="243">
        <f t="shared" si="55"/>
        <v>0</v>
      </c>
      <c r="W190" s="243">
        <f t="shared" si="55"/>
        <v>0</v>
      </c>
      <c r="X190" s="243">
        <f t="shared" si="55"/>
        <v>0</v>
      </c>
      <c r="Y190" s="242">
        <f t="shared" si="54"/>
        <v>0</v>
      </c>
    </row>
    <row r="191" spans="4:25">
      <c r="D191" s="182" t="s">
        <v>730</v>
      </c>
      <c r="E191" s="241">
        <f t="shared" si="52"/>
        <v>0</v>
      </c>
      <c r="F191" s="243">
        <f t="shared" si="56"/>
        <v>0</v>
      </c>
      <c r="G191" s="243">
        <f t="shared" si="56"/>
        <v>0</v>
      </c>
      <c r="H191" s="243">
        <f t="shared" si="56"/>
        <v>0</v>
      </c>
      <c r="I191" s="243">
        <f t="shared" si="56"/>
        <v>0</v>
      </c>
      <c r="J191" s="243">
        <f t="shared" si="56"/>
        <v>0</v>
      </c>
      <c r="K191" s="243">
        <f t="shared" si="56"/>
        <v>0</v>
      </c>
      <c r="L191" s="243">
        <f t="shared" si="56"/>
        <v>0</v>
      </c>
      <c r="M191" s="243">
        <f t="shared" si="56"/>
        <v>0</v>
      </c>
      <c r="N191" s="243">
        <f t="shared" si="55"/>
        <v>0</v>
      </c>
      <c r="O191" s="243">
        <f t="shared" si="55"/>
        <v>0</v>
      </c>
      <c r="P191" s="243">
        <f t="shared" si="55"/>
        <v>0</v>
      </c>
      <c r="Q191" s="243">
        <f t="shared" si="55"/>
        <v>0</v>
      </c>
      <c r="R191" s="243">
        <f t="shared" si="55"/>
        <v>0</v>
      </c>
      <c r="S191" s="243">
        <f t="shared" si="55"/>
        <v>0</v>
      </c>
      <c r="T191" s="243">
        <f t="shared" si="55"/>
        <v>0</v>
      </c>
      <c r="U191" s="243">
        <f t="shared" si="55"/>
        <v>0</v>
      </c>
      <c r="V191" s="243">
        <f t="shared" si="55"/>
        <v>0</v>
      </c>
      <c r="W191" s="243">
        <f t="shared" si="55"/>
        <v>0</v>
      </c>
      <c r="X191" s="243">
        <f t="shared" si="55"/>
        <v>0</v>
      </c>
      <c r="Y191" s="242">
        <f t="shared" si="54"/>
        <v>0</v>
      </c>
    </row>
    <row r="192" spans="4:25">
      <c r="D192" s="182" t="s">
        <v>731</v>
      </c>
      <c r="E192" s="241">
        <f t="shared" si="52"/>
        <v>0</v>
      </c>
      <c r="F192" s="243">
        <f t="shared" si="56"/>
        <v>0</v>
      </c>
      <c r="G192" s="243">
        <f t="shared" si="56"/>
        <v>0</v>
      </c>
      <c r="H192" s="243">
        <f t="shared" si="56"/>
        <v>0</v>
      </c>
      <c r="I192" s="243">
        <f t="shared" si="56"/>
        <v>0</v>
      </c>
      <c r="J192" s="243">
        <f t="shared" si="56"/>
        <v>0</v>
      </c>
      <c r="K192" s="243">
        <f t="shared" si="56"/>
        <v>0</v>
      </c>
      <c r="L192" s="243">
        <f t="shared" si="56"/>
        <v>0</v>
      </c>
      <c r="M192" s="243">
        <f t="shared" si="56"/>
        <v>0</v>
      </c>
      <c r="N192" s="243">
        <f t="shared" si="55"/>
        <v>0</v>
      </c>
      <c r="O192" s="243">
        <f t="shared" si="55"/>
        <v>0</v>
      </c>
      <c r="P192" s="243">
        <f t="shared" si="55"/>
        <v>0</v>
      </c>
      <c r="Q192" s="243">
        <f t="shared" si="55"/>
        <v>0</v>
      </c>
      <c r="R192" s="243">
        <f t="shared" si="55"/>
        <v>0</v>
      </c>
      <c r="S192" s="243">
        <f t="shared" si="55"/>
        <v>0</v>
      </c>
      <c r="T192" s="243">
        <f t="shared" si="55"/>
        <v>0</v>
      </c>
      <c r="U192" s="243">
        <f t="shared" si="55"/>
        <v>0</v>
      </c>
      <c r="V192" s="243">
        <f t="shared" si="55"/>
        <v>0</v>
      </c>
      <c r="W192" s="243">
        <f t="shared" si="55"/>
        <v>0</v>
      </c>
      <c r="X192" s="243">
        <f t="shared" si="55"/>
        <v>0</v>
      </c>
      <c r="Y192" s="242">
        <f t="shared" si="54"/>
        <v>0</v>
      </c>
    </row>
    <row r="193" spans="4:25">
      <c r="D193" s="182" t="s">
        <v>732</v>
      </c>
      <c r="E193" s="241">
        <f t="shared" si="52"/>
        <v>0</v>
      </c>
      <c r="F193" s="243">
        <f t="shared" si="56"/>
        <v>0</v>
      </c>
      <c r="G193" s="243">
        <f t="shared" si="56"/>
        <v>0</v>
      </c>
      <c r="H193" s="243">
        <f t="shared" si="56"/>
        <v>0</v>
      </c>
      <c r="I193" s="243">
        <f t="shared" si="56"/>
        <v>0</v>
      </c>
      <c r="J193" s="243">
        <f t="shared" si="56"/>
        <v>0</v>
      </c>
      <c r="K193" s="243">
        <f t="shared" si="56"/>
        <v>0</v>
      </c>
      <c r="L193" s="243">
        <f t="shared" si="56"/>
        <v>0</v>
      </c>
      <c r="M193" s="243">
        <f t="shared" si="56"/>
        <v>0</v>
      </c>
      <c r="N193" s="243">
        <f t="shared" si="55"/>
        <v>0</v>
      </c>
      <c r="O193" s="243">
        <f t="shared" si="55"/>
        <v>0</v>
      </c>
      <c r="P193" s="243">
        <f t="shared" si="55"/>
        <v>0</v>
      </c>
      <c r="Q193" s="243">
        <f t="shared" si="55"/>
        <v>0</v>
      </c>
      <c r="R193" s="243">
        <f t="shared" si="55"/>
        <v>0</v>
      </c>
      <c r="S193" s="243">
        <f t="shared" si="55"/>
        <v>0</v>
      </c>
      <c r="T193" s="243">
        <f t="shared" si="55"/>
        <v>0</v>
      </c>
      <c r="U193" s="243">
        <f t="shared" si="55"/>
        <v>0</v>
      </c>
      <c r="V193" s="243">
        <f t="shared" si="55"/>
        <v>0</v>
      </c>
      <c r="W193" s="243">
        <f t="shared" si="55"/>
        <v>0</v>
      </c>
      <c r="X193" s="243">
        <f t="shared" si="55"/>
        <v>0</v>
      </c>
      <c r="Y193" s="242">
        <f t="shared" si="54"/>
        <v>0</v>
      </c>
    </row>
    <row r="194" spans="4:25">
      <c r="D194" s="182" t="s">
        <v>733</v>
      </c>
      <c r="E194" s="241">
        <f t="shared" si="52"/>
        <v>0</v>
      </c>
      <c r="F194" s="243">
        <f t="shared" si="56"/>
        <v>0</v>
      </c>
      <c r="G194" s="243">
        <f t="shared" si="56"/>
        <v>0</v>
      </c>
      <c r="H194" s="243">
        <f t="shared" si="56"/>
        <v>0</v>
      </c>
      <c r="I194" s="243">
        <f t="shared" si="56"/>
        <v>0</v>
      </c>
      <c r="J194" s="243">
        <f t="shared" si="56"/>
        <v>0</v>
      </c>
      <c r="K194" s="243">
        <f t="shared" si="56"/>
        <v>0</v>
      </c>
      <c r="L194" s="243">
        <f t="shared" si="56"/>
        <v>0</v>
      </c>
      <c r="M194" s="243">
        <f t="shared" si="56"/>
        <v>0</v>
      </c>
      <c r="N194" s="243">
        <f t="shared" si="55"/>
        <v>0</v>
      </c>
      <c r="O194" s="243">
        <f t="shared" si="55"/>
        <v>0</v>
      </c>
      <c r="P194" s="243">
        <f t="shared" si="55"/>
        <v>0</v>
      </c>
      <c r="Q194" s="243">
        <f t="shared" si="55"/>
        <v>0</v>
      </c>
      <c r="R194" s="243">
        <f t="shared" si="55"/>
        <v>0</v>
      </c>
      <c r="S194" s="243">
        <f t="shared" si="55"/>
        <v>0</v>
      </c>
      <c r="T194" s="243">
        <f t="shared" si="55"/>
        <v>0</v>
      </c>
      <c r="U194" s="243">
        <f t="shared" si="55"/>
        <v>0</v>
      </c>
      <c r="V194" s="243">
        <f t="shared" si="55"/>
        <v>0</v>
      </c>
      <c r="W194" s="243">
        <f t="shared" si="55"/>
        <v>0</v>
      </c>
      <c r="X194" s="243">
        <f t="shared" si="55"/>
        <v>0</v>
      </c>
      <c r="Y194" s="242">
        <f t="shared" si="54"/>
        <v>0</v>
      </c>
    </row>
    <row r="195" spans="4:25">
      <c r="D195" s="182" t="s">
        <v>734</v>
      </c>
      <c r="E195" s="241">
        <f t="shared" si="52"/>
        <v>0</v>
      </c>
      <c r="F195" s="243">
        <f t="shared" si="56"/>
        <v>0</v>
      </c>
      <c r="G195" s="243">
        <f t="shared" si="56"/>
        <v>0</v>
      </c>
      <c r="H195" s="243">
        <f t="shared" si="56"/>
        <v>0</v>
      </c>
      <c r="I195" s="243">
        <f t="shared" si="56"/>
        <v>0</v>
      </c>
      <c r="J195" s="243">
        <f t="shared" si="56"/>
        <v>0</v>
      </c>
      <c r="K195" s="243">
        <f t="shared" si="56"/>
        <v>0</v>
      </c>
      <c r="L195" s="243">
        <f t="shared" si="56"/>
        <v>0</v>
      </c>
      <c r="M195" s="243">
        <f t="shared" si="56"/>
        <v>0</v>
      </c>
      <c r="N195" s="243">
        <f t="shared" si="55"/>
        <v>0</v>
      </c>
      <c r="O195" s="243">
        <f t="shared" si="55"/>
        <v>0</v>
      </c>
      <c r="P195" s="243">
        <f t="shared" si="55"/>
        <v>0</v>
      </c>
      <c r="Q195" s="243">
        <f t="shared" si="55"/>
        <v>0</v>
      </c>
      <c r="R195" s="243">
        <f t="shared" si="55"/>
        <v>0</v>
      </c>
      <c r="S195" s="243">
        <f t="shared" si="55"/>
        <v>0</v>
      </c>
      <c r="T195" s="243">
        <f t="shared" si="55"/>
        <v>0</v>
      </c>
      <c r="U195" s="243">
        <f t="shared" si="55"/>
        <v>0</v>
      </c>
      <c r="V195" s="243">
        <f t="shared" si="55"/>
        <v>0</v>
      </c>
      <c r="W195" s="243">
        <f t="shared" si="55"/>
        <v>0</v>
      </c>
      <c r="X195" s="243">
        <f t="shared" si="55"/>
        <v>0</v>
      </c>
      <c r="Y195" s="242">
        <f t="shared" si="54"/>
        <v>0</v>
      </c>
    </row>
    <row r="196" spans="4:25">
      <c r="D196" s="182" t="s">
        <v>735</v>
      </c>
      <c r="E196" s="241">
        <f t="shared" si="52"/>
        <v>0</v>
      </c>
      <c r="F196" s="243">
        <f t="shared" si="56"/>
        <v>0</v>
      </c>
      <c r="G196" s="243">
        <f t="shared" si="56"/>
        <v>0</v>
      </c>
      <c r="H196" s="243">
        <f t="shared" si="56"/>
        <v>0</v>
      </c>
      <c r="I196" s="243">
        <f t="shared" si="56"/>
        <v>0</v>
      </c>
      <c r="J196" s="243">
        <f t="shared" si="56"/>
        <v>0</v>
      </c>
      <c r="K196" s="243">
        <f t="shared" si="56"/>
        <v>0</v>
      </c>
      <c r="L196" s="243">
        <f t="shared" si="56"/>
        <v>0</v>
      </c>
      <c r="M196" s="243">
        <f t="shared" si="56"/>
        <v>0</v>
      </c>
      <c r="N196" s="243">
        <f t="shared" si="55"/>
        <v>0</v>
      </c>
      <c r="O196" s="243">
        <f t="shared" si="55"/>
        <v>0</v>
      </c>
      <c r="P196" s="243">
        <f t="shared" si="55"/>
        <v>0</v>
      </c>
      <c r="Q196" s="243">
        <f t="shared" si="55"/>
        <v>0</v>
      </c>
      <c r="R196" s="243">
        <f t="shared" si="55"/>
        <v>0</v>
      </c>
      <c r="S196" s="243">
        <f t="shared" si="55"/>
        <v>0</v>
      </c>
      <c r="T196" s="243">
        <f t="shared" si="55"/>
        <v>0</v>
      </c>
      <c r="U196" s="243">
        <f t="shared" si="55"/>
        <v>0</v>
      </c>
      <c r="V196" s="243">
        <f t="shared" si="55"/>
        <v>0</v>
      </c>
      <c r="W196" s="243">
        <f t="shared" si="55"/>
        <v>0</v>
      </c>
      <c r="X196" s="243">
        <f t="shared" si="55"/>
        <v>0</v>
      </c>
      <c r="Y196" s="242">
        <f t="shared" si="54"/>
        <v>0</v>
      </c>
    </row>
    <row r="197" spans="4:25">
      <c r="D197" s="182" t="s">
        <v>852</v>
      </c>
      <c r="E197" s="241">
        <f t="shared" si="52"/>
        <v>0</v>
      </c>
      <c r="F197" s="243">
        <f t="shared" si="56"/>
        <v>0</v>
      </c>
      <c r="G197" s="243">
        <f t="shared" si="56"/>
        <v>0</v>
      </c>
      <c r="H197" s="243">
        <f t="shared" si="56"/>
        <v>0</v>
      </c>
      <c r="I197" s="243">
        <f t="shared" si="56"/>
        <v>0</v>
      </c>
      <c r="J197" s="243">
        <f t="shared" si="56"/>
        <v>0</v>
      </c>
      <c r="K197" s="243">
        <f t="shared" si="56"/>
        <v>0</v>
      </c>
      <c r="L197" s="243">
        <f t="shared" si="56"/>
        <v>0</v>
      </c>
      <c r="M197" s="243">
        <f t="shared" si="56"/>
        <v>0</v>
      </c>
      <c r="N197" s="243">
        <f t="shared" si="55"/>
        <v>0</v>
      </c>
      <c r="O197" s="243">
        <f t="shared" si="55"/>
        <v>0</v>
      </c>
      <c r="P197" s="243">
        <f t="shared" si="55"/>
        <v>0</v>
      </c>
      <c r="Q197" s="243">
        <f t="shared" si="55"/>
        <v>0</v>
      </c>
      <c r="R197" s="243">
        <f t="shared" si="55"/>
        <v>0</v>
      </c>
      <c r="S197" s="243">
        <f t="shared" si="55"/>
        <v>0</v>
      </c>
      <c r="T197" s="243">
        <f t="shared" si="55"/>
        <v>0</v>
      </c>
      <c r="U197" s="243">
        <f t="shared" si="55"/>
        <v>0</v>
      </c>
      <c r="V197" s="243">
        <f t="shared" si="55"/>
        <v>0</v>
      </c>
      <c r="W197" s="243">
        <f t="shared" si="55"/>
        <v>0</v>
      </c>
      <c r="X197" s="243">
        <f t="shared" si="55"/>
        <v>0</v>
      </c>
      <c r="Y197" s="242">
        <f t="shared" si="54"/>
        <v>0</v>
      </c>
    </row>
    <row r="198" spans="4:25">
      <c r="D198" s="182" t="s">
        <v>855</v>
      </c>
      <c r="E198" s="241">
        <f t="shared" si="52"/>
        <v>0</v>
      </c>
      <c r="F198" s="243">
        <f t="shared" si="56"/>
        <v>0</v>
      </c>
      <c r="G198" s="243">
        <f t="shared" si="56"/>
        <v>0</v>
      </c>
      <c r="H198" s="243">
        <f t="shared" si="56"/>
        <v>0</v>
      </c>
      <c r="I198" s="243">
        <f t="shared" si="56"/>
        <v>0</v>
      </c>
      <c r="J198" s="243">
        <f t="shared" si="56"/>
        <v>0</v>
      </c>
      <c r="K198" s="243">
        <f t="shared" si="56"/>
        <v>0</v>
      </c>
      <c r="L198" s="243">
        <f t="shared" si="56"/>
        <v>0</v>
      </c>
      <c r="M198" s="243">
        <f t="shared" si="56"/>
        <v>0</v>
      </c>
      <c r="N198" s="243">
        <f t="shared" si="55"/>
        <v>0</v>
      </c>
      <c r="O198" s="243">
        <f t="shared" si="55"/>
        <v>0</v>
      </c>
      <c r="P198" s="243">
        <f t="shared" si="55"/>
        <v>0</v>
      </c>
      <c r="Q198" s="243">
        <f t="shared" si="55"/>
        <v>0</v>
      </c>
      <c r="R198" s="243">
        <f t="shared" si="55"/>
        <v>0</v>
      </c>
      <c r="S198" s="243">
        <f t="shared" si="55"/>
        <v>0</v>
      </c>
      <c r="T198" s="243">
        <f t="shared" si="55"/>
        <v>0</v>
      </c>
      <c r="U198" s="243">
        <f t="shared" si="55"/>
        <v>0</v>
      </c>
      <c r="V198" s="243">
        <f t="shared" si="55"/>
        <v>0</v>
      </c>
      <c r="W198" s="243">
        <f t="shared" si="55"/>
        <v>0</v>
      </c>
      <c r="X198" s="243">
        <f t="shared" si="55"/>
        <v>0</v>
      </c>
      <c r="Y198" s="242">
        <f t="shared" si="54"/>
        <v>0</v>
      </c>
    </row>
    <row r="199" spans="4:25">
      <c r="D199" s="182" t="s">
        <v>858</v>
      </c>
      <c r="E199" s="241">
        <f t="shared" si="52"/>
        <v>0</v>
      </c>
      <c r="F199" s="243">
        <f t="shared" si="56"/>
        <v>0</v>
      </c>
      <c r="G199" s="243">
        <f t="shared" si="56"/>
        <v>0</v>
      </c>
      <c r="H199" s="243">
        <f t="shared" si="56"/>
        <v>0</v>
      </c>
      <c r="I199" s="243">
        <f t="shared" si="56"/>
        <v>0</v>
      </c>
      <c r="J199" s="243">
        <f t="shared" si="56"/>
        <v>0</v>
      </c>
      <c r="K199" s="243">
        <f t="shared" si="56"/>
        <v>0</v>
      </c>
      <c r="L199" s="243">
        <f t="shared" si="56"/>
        <v>0</v>
      </c>
      <c r="M199" s="243">
        <f t="shared" si="56"/>
        <v>0</v>
      </c>
      <c r="N199" s="243">
        <f t="shared" si="55"/>
        <v>0</v>
      </c>
      <c r="O199" s="243">
        <f t="shared" si="55"/>
        <v>0</v>
      </c>
      <c r="P199" s="243">
        <f t="shared" si="55"/>
        <v>0</v>
      </c>
      <c r="Q199" s="243">
        <f t="shared" si="55"/>
        <v>0</v>
      </c>
      <c r="R199" s="243">
        <f t="shared" si="55"/>
        <v>0</v>
      </c>
      <c r="S199" s="243">
        <f t="shared" si="55"/>
        <v>0</v>
      </c>
      <c r="T199" s="243">
        <f t="shared" si="55"/>
        <v>0</v>
      </c>
      <c r="U199" s="243">
        <f t="shared" si="55"/>
        <v>0</v>
      </c>
      <c r="V199" s="243">
        <f t="shared" si="55"/>
        <v>0</v>
      </c>
      <c r="W199" s="243">
        <f t="shared" si="55"/>
        <v>0</v>
      </c>
      <c r="X199" s="243">
        <f t="shared" si="55"/>
        <v>0</v>
      </c>
      <c r="Y199" s="242">
        <f t="shared" si="54"/>
        <v>0</v>
      </c>
    </row>
    <row r="200" spans="4:25">
      <c r="D200" s="182" t="s">
        <v>861</v>
      </c>
      <c r="E200" s="241">
        <f t="shared" si="52"/>
        <v>0</v>
      </c>
      <c r="F200" s="243">
        <f t="shared" si="56"/>
        <v>0</v>
      </c>
      <c r="G200" s="243">
        <f t="shared" si="56"/>
        <v>0</v>
      </c>
      <c r="H200" s="243">
        <f t="shared" si="56"/>
        <v>0</v>
      </c>
      <c r="I200" s="243">
        <f t="shared" si="56"/>
        <v>0</v>
      </c>
      <c r="J200" s="243">
        <f t="shared" si="56"/>
        <v>0</v>
      </c>
      <c r="K200" s="243">
        <f t="shared" si="56"/>
        <v>0</v>
      </c>
      <c r="L200" s="243">
        <f t="shared" si="56"/>
        <v>0</v>
      </c>
      <c r="M200" s="243">
        <f t="shared" si="56"/>
        <v>0</v>
      </c>
      <c r="N200" s="243">
        <f t="shared" si="55"/>
        <v>0</v>
      </c>
      <c r="O200" s="243">
        <f t="shared" si="55"/>
        <v>0</v>
      </c>
      <c r="P200" s="243">
        <f t="shared" si="55"/>
        <v>0</v>
      </c>
      <c r="Q200" s="243">
        <f t="shared" si="55"/>
        <v>0</v>
      </c>
      <c r="R200" s="243">
        <f t="shared" si="55"/>
        <v>0</v>
      </c>
      <c r="S200" s="243">
        <f t="shared" si="55"/>
        <v>0</v>
      </c>
      <c r="T200" s="243">
        <f t="shared" si="55"/>
        <v>0</v>
      </c>
      <c r="U200" s="243">
        <f t="shared" si="55"/>
        <v>0</v>
      </c>
      <c r="V200" s="243">
        <f t="shared" si="55"/>
        <v>0</v>
      </c>
      <c r="W200" s="243">
        <f t="shared" si="55"/>
        <v>0</v>
      </c>
      <c r="X200" s="243">
        <f t="shared" si="55"/>
        <v>0</v>
      </c>
      <c r="Y200" s="242">
        <f t="shared" si="54"/>
        <v>0</v>
      </c>
    </row>
    <row r="201" spans="4:25">
      <c r="D201" s="182" t="s">
        <v>864</v>
      </c>
      <c r="E201" s="241">
        <f t="shared" si="52"/>
        <v>0</v>
      </c>
      <c r="F201" s="243">
        <f t="shared" si="56"/>
        <v>0</v>
      </c>
      <c r="G201" s="243">
        <f t="shared" si="56"/>
        <v>0</v>
      </c>
      <c r="H201" s="243">
        <f t="shared" si="56"/>
        <v>0</v>
      </c>
      <c r="I201" s="243">
        <f t="shared" si="56"/>
        <v>0</v>
      </c>
      <c r="J201" s="243">
        <f t="shared" si="56"/>
        <v>0</v>
      </c>
      <c r="K201" s="243">
        <f t="shared" si="56"/>
        <v>0</v>
      </c>
      <c r="L201" s="243">
        <f t="shared" si="56"/>
        <v>0</v>
      </c>
      <c r="M201" s="243">
        <f t="shared" si="56"/>
        <v>0</v>
      </c>
      <c r="N201" s="243">
        <f t="shared" si="55"/>
        <v>0</v>
      </c>
      <c r="O201" s="243">
        <f t="shared" si="55"/>
        <v>0</v>
      </c>
      <c r="P201" s="243">
        <f t="shared" si="55"/>
        <v>0</v>
      </c>
      <c r="Q201" s="243">
        <f t="shared" si="55"/>
        <v>0</v>
      </c>
      <c r="R201" s="243">
        <f t="shared" si="55"/>
        <v>0</v>
      </c>
      <c r="S201" s="243">
        <f t="shared" si="55"/>
        <v>0</v>
      </c>
      <c r="T201" s="243">
        <f t="shared" si="55"/>
        <v>0</v>
      </c>
      <c r="U201" s="243">
        <f t="shared" si="55"/>
        <v>0</v>
      </c>
      <c r="V201" s="243">
        <f t="shared" si="55"/>
        <v>0</v>
      </c>
      <c r="W201" s="243">
        <f t="shared" si="55"/>
        <v>0</v>
      </c>
      <c r="X201" s="243">
        <f t="shared" si="55"/>
        <v>0</v>
      </c>
      <c r="Y201" s="242">
        <f t="shared" si="54"/>
        <v>0</v>
      </c>
    </row>
    <row r="202" spans="4:25">
      <c r="D202" s="182" t="s">
        <v>867</v>
      </c>
      <c r="E202" s="241">
        <f t="shared" si="52"/>
        <v>0</v>
      </c>
      <c r="F202" s="243">
        <f t="shared" si="56"/>
        <v>0</v>
      </c>
      <c r="G202" s="243">
        <f t="shared" si="56"/>
        <v>0</v>
      </c>
      <c r="H202" s="243">
        <f t="shared" si="56"/>
        <v>0</v>
      </c>
      <c r="I202" s="243">
        <f t="shared" si="56"/>
        <v>0</v>
      </c>
      <c r="J202" s="243">
        <f t="shared" si="56"/>
        <v>0</v>
      </c>
      <c r="K202" s="243">
        <f t="shared" si="56"/>
        <v>0</v>
      </c>
      <c r="L202" s="243">
        <f t="shared" si="56"/>
        <v>0</v>
      </c>
      <c r="M202" s="243">
        <f t="shared" si="56"/>
        <v>0</v>
      </c>
      <c r="N202" s="243">
        <f t="shared" si="55"/>
        <v>0</v>
      </c>
      <c r="O202" s="243">
        <f t="shared" si="55"/>
        <v>0</v>
      </c>
      <c r="P202" s="243">
        <f t="shared" si="55"/>
        <v>0</v>
      </c>
      <c r="Q202" s="243">
        <f t="shared" si="55"/>
        <v>0</v>
      </c>
      <c r="R202" s="243">
        <f t="shared" si="55"/>
        <v>0</v>
      </c>
      <c r="S202" s="243">
        <f t="shared" si="55"/>
        <v>0</v>
      </c>
      <c r="T202" s="243">
        <f t="shared" si="55"/>
        <v>0</v>
      </c>
      <c r="U202" s="243">
        <f t="shared" si="55"/>
        <v>0</v>
      </c>
      <c r="V202" s="243">
        <f t="shared" si="55"/>
        <v>0</v>
      </c>
      <c r="W202" s="243">
        <f t="shared" si="55"/>
        <v>0</v>
      </c>
      <c r="X202" s="243">
        <f t="shared" si="55"/>
        <v>0</v>
      </c>
      <c r="Y202" s="242">
        <f t="shared" si="54"/>
        <v>0</v>
      </c>
    </row>
    <row r="203" spans="4:25">
      <c r="D203" s="182" t="s">
        <v>870</v>
      </c>
      <c r="E203" s="241">
        <f t="shared" si="52"/>
        <v>0</v>
      </c>
      <c r="F203" s="243">
        <f t="shared" si="56"/>
        <v>0</v>
      </c>
      <c r="G203" s="243">
        <f t="shared" si="56"/>
        <v>0</v>
      </c>
      <c r="H203" s="243">
        <f t="shared" si="56"/>
        <v>0</v>
      </c>
      <c r="I203" s="243">
        <f t="shared" si="56"/>
        <v>0</v>
      </c>
      <c r="J203" s="243">
        <f t="shared" si="56"/>
        <v>0</v>
      </c>
      <c r="K203" s="243">
        <f t="shared" si="56"/>
        <v>0</v>
      </c>
      <c r="L203" s="243">
        <f t="shared" si="56"/>
        <v>0</v>
      </c>
      <c r="M203" s="243">
        <f t="shared" si="56"/>
        <v>0</v>
      </c>
      <c r="N203" s="243">
        <f t="shared" si="55"/>
        <v>0</v>
      </c>
      <c r="O203" s="243">
        <f t="shared" si="55"/>
        <v>0</v>
      </c>
      <c r="P203" s="243">
        <f t="shared" si="55"/>
        <v>0</v>
      </c>
      <c r="Q203" s="243">
        <f t="shared" si="55"/>
        <v>0</v>
      </c>
      <c r="R203" s="243">
        <f t="shared" si="55"/>
        <v>0</v>
      </c>
      <c r="S203" s="243">
        <f t="shared" si="55"/>
        <v>0</v>
      </c>
      <c r="T203" s="243">
        <f t="shared" si="55"/>
        <v>0</v>
      </c>
      <c r="U203" s="243">
        <f t="shared" si="55"/>
        <v>0</v>
      </c>
      <c r="V203" s="243">
        <f t="shared" si="55"/>
        <v>0</v>
      </c>
      <c r="W203" s="243">
        <f t="shared" si="55"/>
        <v>0</v>
      </c>
      <c r="X203" s="243">
        <f t="shared" si="55"/>
        <v>0</v>
      </c>
      <c r="Y203" s="242">
        <f t="shared" si="54"/>
        <v>0</v>
      </c>
    </row>
    <row r="204" spans="4:25">
      <c r="D204" s="182" t="s">
        <v>873</v>
      </c>
      <c r="E204" s="241">
        <f t="shared" si="52"/>
        <v>0</v>
      </c>
      <c r="F204" s="243">
        <f t="shared" si="56"/>
        <v>0</v>
      </c>
      <c r="G204" s="243">
        <f t="shared" si="56"/>
        <v>0</v>
      </c>
      <c r="H204" s="243">
        <f t="shared" si="56"/>
        <v>0</v>
      </c>
      <c r="I204" s="243">
        <f t="shared" si="56"/>
        <v>0</v>
      </c>
      <c r="J204" s="243">
        <f t="shared" si="56"/>
        <v>0</v>
      </c>
      <c r="K204" s="243">
        <f t="shared" si="56"/>
        <v>0</v>
      </c>
      <c r="L204" s="243">
        <f t="shared" si="56"/>
        <v>0</v>
      </c>
      <c r="M204" s="243">
        <f t="shared" si="56"/>
        <v>0</v>
      </c>
      <c r="N204" s="243">
        <f t="shared" si="55"/>
        <v>0</v>
      </c>
      <c r="O204" s="243">
        <f t="shared" si="55"/>
        <v>0</v>
      </c>
      <c r="P204" s="243">
        <f t="shared" si="55"/>
        <v>0</v>
      </c>
      <c r="Q204" s="243">
        <f t="shared" si="55"/>
        <v>0</v>
      </c>
      <c r="R204" s="243">
        <f t="shared" si="55"/>
        <v>0</v>
      </c>
      <c r="S204" s="243">
        <f t="shared" si="55"/>
        <v>0</v>
      </c>
      <c r="T204" s="243">
        <f t="shared" si="55"/>
        <v>0</v>
      </c>
      <c r="U204" s="243">
        <f t="shared" si="55"/>
        <v>0</v>
      </c>
      <c r="V204" s="243">
        <f t="shared" si="55"/>
        <v>0</v>
      </c>
      <c r="W204" s="243">
        <f t="shared" si="55"/>
        <v>0</v>
      </c>
      <c r="X204" s="243">
        <f t="shared" si="55"/>
        <v>0</v>
      </c>
      <c r="Y204" s="242">
        <f t="shared" si="54"/>
        <v>0</v>
      </c>
    </row>
    <row r="205" spans="4:25">
      <c r="D205" s="182" t="s">
        <v>876</v>
      </c>
      <c r="E205" s="241">
        <f t="shared" si="52"/>
        <v>0</v>
      </c>
      <c r="F205" s="243">
        <f t="shared" si="56"/>
        <v>0</v>
      </c>
      <c r="G205" s="243">
        <f t="shared" si="56"/>
        <v>0</v>
      </c>
      <c r="H205" s="243">
        <f t="shared" si="56"/>
        <v>0</v>
      </c>
      <c r="I205" s="243">
        <f t="shared" si="56"/>
        <v>0</v>
      </c>
      <c r="J205" s="243">
        <f t="shared" si="56"/>
        <v>0</v>
      </c>
      <c r="K205" s="243">
        <f t="shared" si="56"/>
        <v>0</v>
      </c>
      <c r="L205" s="243">
        <f t="shared" si="56"/>
        <v>0</v>
      </c>
      <c r="M205" s="243">
        <f t="shared" si="56"/>
        <v>0</v>
      </c>
      <c r="N205" s="243">
        <f t="shared" si="56"/>
        <v>0</v>
      </c>
      <c r="O205" s="243">
        <f t="shared" si="56"/>
        <v>0</v>
      </c>
      <c r="P205" s="243">
        <f t="shared" si="56"/>
        <v>0</v>
      </c>
      <c r="Q205" s="243">
        <f t="shared" si="56"/>
        <v>0</v>
      </c>
      <c r="R205" s="243">
        <f t="shared" si="56"/>
        <v>0</v>
      </c>
      <c r="S205" s="243">
        <f t="shared" si="56"/>
        <v>0</v>
      </c>
      <c r="T205" s="243">
        <f t="shared" si="56"/>
        <v>0</v>
      </c>
      <c r="U205" s="243">
        <f t="shared" si="56"/>
        <v>0</v>
      </c>
      <c r="V205" s="243">
        <f t="shared" ref="V205:X207" si="57">U205+V166</f>
        <v>0</v>
      </c>
      <c r="W205" s="243">
        <f t="shared" si="57"/>
        <v>0</v>
      </c>
      <c r="X205" s="243">
        <f t="shared" si="57"/>
        <v>0</v>
      </c>
      <c r="Y205" s="242">
        <f t="shared" si="54"/>
        <v>0</v>
      </c>
    </row>
    <row r="206" spans="4:25">
      <c r="D206" s="182" t="s">
        <v>879</v>
      </c>
      <c r="E206" s="241">
        <f t="shared" si="52"/>
        <v>0</v>
      </c>
      <c r="F206" s="243">
        <f t="shared" ref="F206:U207" si="58">E206+F167</f>
        <v>0</v>
      </c>
      <c r="G206" s="243">
        <f t="shared" si="58"/>
        <v>0</v>
      </c>
      <c r="H206" s="243">
        <f t="shared" si="58"/>
        <v>0</v>
      </c>
      <c r="I206" s="243">
        <f t="shared" si="58"/>
        <v>0</v>
      </c>
      <c r="J206" s="243">
        <f t="shared" si="58"/>
        <v>0</v>
      </c>
      <c r="K206" s="243">
        <f t="shared" si="58"/>
        <v>0</v>
      </c>
      <c r="L206" s="243">
        <f t="shared" si="58"/>
        <v>0</v>
      </c>
      <c r="M206" s="243">
        <f t="shared" si="58"/>
        <v>0</v>
      </c>
      <c r="N206" s="243">
        <f t="shared" si="58"/>
        <v>0</v>
      </c>
      <c r="O206" s="243">
        <f t="shared" si="58"/>
        <v>0</v>
      </c>
      <c r="P206" s="243">
        <f t="shared" si="58"/>
        <v>0</v>
      </c>
      <c r="Q206" s="243">
        <f t="shared" si="58"/>
        <v>0</v>
      </c>
      <c r="R206" s="243">
        <f t="shared" si="58"/>
        <v>0</v>
      </c>
      <c r="S206" s="243">
        <f t="shared" si="58"/>
        <v>0</v>
      </c>
      <c r="T206" s="243">
        <f t="shared" si="58"/>
        <v>0</v>
      </c>
      <c r="U206" s="243">
        <f t="shared" si="58"/>
        <v>0</v>
      </c>
      <c r="V206" s="243">
        <f t="shared" si="57"/>
        <v>0</v>
      </c>
      <c r="W206" s="243">
        <f t="shared" si="57"/>
        <v>0</v>
      </c>
      <c r="X206" s="243">
        <f t="shared" si="57"/>
        <v>0</v>
      </c>
      <c r="Y206" s="242">
        <f t="shared" si="54"/>
        <v>0</v>
      </c>
    </row>
    <row r="207" spans="4:25">
      <c r="D207" s="182" t="s">
        <v>882</v>
      </c>
      <c r="E207" s="241">
        <f t="shared" si="52"/>
        <v>-0.3195992019999192</v>
      </c>
      <c r="F207" s="243">
        <f t="shared" si="58"/>
        <v>-0.57402645079786474</v>
      </c>
      <c r="G207" s="243">
        <f t="shared" si="58"/>
        <v>-0.76385474529894815</v>
      </c>
      <c r="H207" s="243">
        <f t="shared" si="58"/>
        <v>-0.88985339571862809</v>
      </c>
      <c r="I207" s="243">
        <f t="shared" si="58"/>
        <v>-0.88985339571862809</v>
      </c>
      <c r="J207" s="243">
        <f t="shared" si="58"/>
        <v>-0.88985339571862809</v>
      </c>
      <c r="K207" s="243">
        <f t="shared" si="58"/>
        <v>-0.88985339571862809</v>
      </c>
      <c r="L207" s="243">
        <f t="shared" si="58"/>
        <v>-0.88985339571862809</v>
      </c>
      <c r="M207" s="243">
        <f t="shared" si="58"/>
        <v>-0.88985339571862809</v>
      </c>
      <c r="N207" s="243">
        <f t="shared" si="58"/>
        <v>-0.88985339571862809</v>
      </c>
      <c r="O207" s="243">
        <f t="shared" si="58"/>
        <v>-0.88985339571862809</v>
      </c>
      <c r="P207" s="243">
        <f t="shared" si="58"/>
        <v>-0.88985339571862809</v>
      </c>
      <c r="Q207" s="243">
        <f t="shared" si="58"/>
        <v>-0.88985339571862809</v>
      </c>
      <c r="R207" s="243">
        <f t="shared" si="58"/>
        <v>-0.88985339571862809</v>
      </c>
      <c r="S207" s="243">
        <f t="shared" si="58"/>
        <v>-0.88985339571862809</v>
      </c>
      <c r="T207" s="243">
        <f t="shared" si="58"/>
        <v>-0.88985339571862809</v>
      </c>
      <c r="U207" s="243">
        <f t="shared" si="58"/>
        <v>-0.88985339571862809</v>
      </c>
      <c r="V207" s="243">
        <f t="shared" si="57"/>
        <v>-0.88985339571862809</v>
      </c>
      <c r="W207" s="243">
        <f t="shared" si="57"/>
        <v>-0.88985339571862809</v>
      </c>
      <c r="X207" s="243">
        <f t="shared" si="57"/>
        <v>-0.88985339571862809</v>
      </c>
      <c r="Y207" s="242">
        <f t="shared" si="54"/>
        <v>-1.9183299693115146</v>
      </c>
    </row>
    <row r="209" spans="4:79" ht="15">
      <c r="D209" s="239" t="s">
        <v>886</v>
      </c>
      <c r="E209" s="239">
        <f>SUM(E176:E207)</f>
        <v>14.792328134119147</v>
      </c>
      <c r="F209" s="239">
        <f>SUM(F176:F207)</f>
        <v>26.568237857702648</v>
      </c>
      <c r="G209" s="239">
        <f t="shared" ref="G209:X209" si="59">SUM(G176:G207)</f>
        <v>35.354249849688003</v>
      </c>
      <c r="H209" s="239">
        <f t="shared" si="59"/>
        <v>41.185970860882961</v>
      </c>
      <c r="I209" s="239">
        <f t="shared" si="59"/>
        <v>41.185970860882961</v>
      </c>
      <c r="J209" s="239">
        <f t="shared" si="59"/>
        <v>41.185970860882961</v>
      </c>
      <c r="K209" s="239">
        <f t="shared" si="59"/>
        <v>41.185970860882961</v>
      </c>
      <c r="L209" s="239">
        <f t="shared" si="59"/>
        <v>41.185970860882961</v>
      </c>
      <c r="M209" s="239">
        <f t="shared" si="59"/>
        <v>41.185970860882961</v>
      </c>
      <c r="N209" s="239">
        <f t="shared" si="59"/>
        <v>41.185970860882961</v>
      </c>
      <c r="O209" s="239">
        <f t="shared" si="59"/>
        <v>41.185970860882961</v>
      </c>
      <c r="P209" s="239">
        <f t="shared" si="59"/>
        <v>41.185970860882961</v>
      </c>
      <c r="Q209" s="239">
        <f t="shared" si="59"/>
        <v>41.185970860882961</v>
      </c>
      <c r="R209" s="239">
        <f t="shared" si="59"/>
        <v>41.185970860882961</v>
      </c>
      <c r="S209" s="239">
        <f t="shared" si="59"/>
        <v>41.185970860882961</v>
      </c>
      <c r="T209" s="239">
        <f t="shared" si="59"/>
        <v>41.185970860882961</v>
      </c>
      <c r="U209" s="239">
        <f t="shared" si="59"/>
        <v>41.185970860882961</v>
      </c>
      <c r="V209" s="239">
        <f t="shared" si="59"/>
        <v>41.185970860882961</v>
      </c>
      <c r="W209" s="239">
        <f t="shared" si="59"/>
        <v>41.185970860882961</v>
      </c>
      <c r="X209" s="239">
        <f t="shared" si="59"/>
        <v>41.185970860882961</v>
      </c>
      <c r="Y209" s="239">
        <f>SUM(Y176:Y207)</f>
        <v>88.787976309081984</v>
      </c>
      <c r="AC209" s="179"/>
      <c r="AD209" s="179"/>
      <c r="AE209" s="179"/>
      <c r="AF209" s="179"/>
      <c r="AG209" s="179"/>
      <c r="AH209" s="179"/>
      <c r="AI209" s="179"/>
      <c r="AJ209" s="179"/>
      <c r="AK209" s="179"/>
      <c r="AL209" s="179"/>
      <c r="AM209" s="179"/>
      <c r="AN209" s="179"/>
      <c r="AO209" s="179"/>
      <c r="AP209" s="179"/>
      <c r="AQ209" s="179"/>
      <c r="AR209" s="179"/>
      <c r="AS209" s="179"/>
      <c r="AT209" s="179"/>
      <c r="AU209" s="179"/>
      <c r="AV209" s="179"/>
      <c r="AW209" s="179"/>
      <c r="AX209" s="179"/>
      <c r="AY209" s="179"/>
      <c r="AZ209" s="179"/>
      <c r="BA209" s="179"/>
      <c r="BB209" s="179"/>
      <c r="BC209" s="179"/>
      <c r="BD209" s="179"/>
      <c r="BE209" s="179"/>
      <c r="BF209" s="179"/>
      <c r="BG209" s="179"/>
      <c r="BH209" s="179"/>
      <c r="BI209" s="179"/>
      <c r="BJ209" s="179"/>
      <c r="BK209" s="179"/>
      <c r="BL209" s="179"/>
      <c r="BM209" s="179"/>
      <c r="BN209" s="179"/>
      <c r="BO209" s="179"/>
      <c r="BP209" s="179"/>
      <c r="BQ209" s="179"/>
      <c r="BR209" s="179"/>
      <c r="BS209" s="179"/>
      <c r="BT209" s="179"/>
      <c r="BU209" s="179"/>
      <c r="BV209" s="179"/>
      <c r="BW209" s="179"/>
      <c r="BX209" s="179"/>
      <c r="BY209" s="179"/>
      <c r="BZ209" s="179"/>
      <c r="CA209" s="179"/>
    </row>
    <row r="210" spans="4:79">
      <c r="E210" s="193"/>
      <c r="F210" s="195"/>
      <c r="G210" s="195"/>
      <c r="H210" s="195"/>
      <c r="I210" s="195"/>
      <c r="J210" s="195"/>
      <c r="K210" s="195"/>
      <c r="L210" s="195"/>
      <c r="M210" s="195"/>
      <c r="N210" s="195"/>
      <c r="O210" s="195"/>
      <c r="P210" s="195"/>
      <c r="Q210" s="195"/>
      <c r="R210" s="195"/>
      <c r="S210" s="195"/>
      <c r="T210" s="195"/>
      <c r="U210" s="195"/>
      <c r="V210" s="195"/>
      <c r="W210" s="195"/>
      <c r="X210" s="195"/>
      <c r="Y210" s="195"/>
    </row>
    <row r="213" spans="4:79" s="179" customFormat="1"/>
    <row r="214" spans="4:79" s="179" customFormat="1"/>
    <row r="215" spans="4:79" s="179" customFormat="1"/>
    <row r="216" spans="4:79" s="179" customFormat="1"/>
    <row r="217" spans="4:79" s="179" customFormat="1"/>
    <row r="218" spans="4:79" s="179" customFormat="1"/>
    <row r="219" spans="4:79" s="179" customFormat="1"/>
    <row r="220" spans="4:79" s="179" customFormat="1"/>
    <row r="221" spans="4:79" s="179" customFormat="1"/>
    <row r="222" spans="4:79" s="179" customFormat="1"/>
    <row r="223" spans="4:79" s="179" customFormat="1"/>
    <row r="224" spans="4:79" s="179" customFormat="1"/>
    <row r="225" s="179" customFormat="1"/>
    <row r="226" s="179" customFormat="1"/>
    <row r="227" s="179" customFormat="1"/>
    <row r="228" s="179" customFormat="1"/>
    <row r="229" s="179" customFormat="1"/>
    <row r="230" s="179" customFormat="1"/>
    <row r="231" s="179" customFormat="1"/>
  </sheetData>
  <mergeCells count="2">
    <mergeCell ref="B1:T6"/>
    <mergeCell ref="U1:U6"/>
  </mergeCell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1:G15"/>
  <sheetViews>
    <sheetView workbookViewId="0">
      <selection activeCell="E19" sqref="E19"/>
    </sheetView>
  </sheetViews>
  <sheetFormatPr defaultRowHeight="12.75"/>
  <cols>
    <col min="6" max="6" width="15.28515625" bestFit="1" customWidth="1"/>
  </cols>
  <sheetData>
    <row r="1" spans="1:7">
      <c r="A1" s="249" t="s">
        <v>918</v>
      </c>
      <c r="B1" s="250" t="s">
        <v>919</v>
      </c>
      <c r="C1" s="250" t="s">
        <v>920</v>
      </c>
      <c r="D1" s="250" t="s">
        <v>921</v>
      </c>
      <c r="E1" s="250" t="s">
        <v>922</v>
      </c>
      <c r="F1" s="250" t="s">
        <v>923</v>
      </c>
      <c r="G1" s="251" t="s">
        <v>924</v>
      </c>
    </row>
    <row r="2" spans="1:7">
      <c r="A2" s="252">
        <v>2010</v>
      </c>
      <c r="B2" s="253" t="s">
        <v>70</v>
      </c>
      <c r="C2" s="253" t="s">
        <v>279</v>
      </c>
      <c r="D2" s="253" t="s">
        <v>344</v>
      </c>
      <c r="E2" s="253" t="s">
        <v>427</v>
      </c>
      <c r="F2" s="254">
        <v>9439481.4643792603</v>
      </c>
      <c r="G2" s="255">
        <v>1.0775663911358606</v>
      </c>
    </row>
    <row r="3" spans="1:7">
      <c r="A3" s="256">
        <v>2010</v>
      </c>
      <c r="B3" s="257" t="s">
        <v>70</v>
      </c>
      <c r="C3" s="257" t="s">
        <v>279</v>
      </c>
      <c r="D3" s="257" t="s">
        <v>344</v>
      </c>
      <c r="E3" s="257" t="s">
        <v>461</v>
      </c>
      <c r="F3" s="258">
        <v>267143533.33136547</v>
      </c>
      <c r="G3" s="259">
        <v>30.495837277460623</v>
      </c>
    </row>
    <row r="4" spans="1:7">
      <c r="A4" s="260">
        <v>2010</v>
      </c>
      <c r="B4" s="261" t="s">
        <v>70</v>
      </c>
      <c r="C4" s="261" t="s">
        <v>279</v>
      </c>
      <c r="D4" s="261" t="s">
        <v>344</v>
      </c>
      <c r="E4" s="261" t="s">
        <v>925</v>
      </c>
      <c r="F4" s="262">
        <v>198682097.54918727</v>
      </c>
      <c r="G4" s="263">
        <v>22.680604802750167</v>
      </c>
    </row>
    <row r="5" spans="1:7">
      <c r="A5" s="256">
        <v>2010</v>
      </c>
      <c r="B5" s="257" t="s">
        <v>70</v>
      </c>
      <c r="C5" s="257" t="s">
        <v>279</v>
      </c>
      <c r="D5" s="257" t="s">
        <v>347</v>
      </c>
      <c r="E5" s="257" t="s">
        <v>347</v>
      </c>
      <c r="F5" s="258">
        <v>73264.12</v>
      </c>
      <c r="G5" s="259">
        <v>8.3634838583748206E-3</v>
      </c>
    </row>
    <row r="6" spans="1:7">
      <c r="A6" s="252">
        <v>2011</v>
      </c>
      <c r="B6" s="253" t="s">
        <v>70</v>
      </c>
      <c r="C6" s="253" t="s">
        <v>279</v>
      </c>
      <c r="D6" s="253" t="s">
        <v>344</v>
      </c>
      <c r="E6" s="253" t="s">
        <v>427</v>
      </c>
      <c r="F6" s="254">
        <v>9854205.932354426</v>
      </c>
      <c r="G6" s="255">
        <v>1.1249093498622642</v>
      </c>
    </row>
    <row r="7" spans="1:7">
      <c r="A7" s="256">
        <v>2011</v>
      </c>
      <c r="B7" s="257" t="s">
        <v>70</v>
      </c>
      <c r="C7" s="257" t="s">
        <v>279</v>
      </c>
      <c r="D7" s="257" t="s">
        <v>344</v>
      </c>
      <c r="E7" s="257" t="s">
        <v>461</v>
      </c>
      <c r="F7" s="258">
        <v>355335072.70581162</v>
      </c>
      <c r="G7" s="259">
        <v>40.56336480367861</v>
      </c>
    </row>
    <row r="8" spans="1:7">
      <c r="A8" s="260">
        <v>2011</v>
      </c>
      <c r="B8" s="261" t="s">
        <v>70</v>
      </c>
      <c r="C8" s="261" t="s">
        <v>279</v>
      </c>
      <c r="D8" s="261" t="s">
        <v>344</v>
      </c>
      <c r="E8" s="261" t="s">
        <v>925</v>
      </c>
      <c r="F8" s="262">
        <v>161052852.87662977</v>
      </c>
      <c r="G8" s="263">
        <v>18.385028927950771</v>
      </c>
    </row>
    <row r="9" spans="1:7">
      <c r="A9" s="256">
        <v>2011</v>
      </c>
      <c r="B9" s="257" t="s">
        <v>70</v>
      </c>
      <c r="C9" s="257" t="s">
        <v>279</v>
      </c>
      <c r="D9" s="257" t="s">
        <v>347</v>
      </c>
      <c r="E9" s="257" t="s">
        <v>347</v>
      </c>
      <c r="F9" s="258">
        <v>68834.759999999995</v>
      </c>
      <c r="G9" s="259">
        <v>7.8578493485110812E-3</v>
      </c>
    </row>
    <row r="10" spans="1:7">
      <c r="A10" s="252">
        <v>2012</v>
      </c>
      <c r="B10" s="253" t="s">
        <v>70</v>
      </c>
      <c r="C10" s="253" t="s">
        <v>279</v>
      </c>
      <c r="D10" s="253" t="s">
        <v>344</v>
      </c>
      <c r="E10" s="253" t="s">
        <v>427</v>
      </c>
      <c r="F10" s="254">
        <v>14716241.944558997</v>
      </c>
      <c r="G10" s="255">
        <v>1.6799363068116691</v>
      </c>
    </row>
    <row r="11" spans="1:7">
      <c r="A11" s="256">
        <v>2012</v>
      </c>
      <c r="B11" s="257" t="s">
        <v>70</v>
      </c>
      <c r="C11" s="257" t="s">
        <v>279</v>
      </c>
      <c r="D11" s="257" t="s">
        <v>344</v>
      </c>
      <c r="E11" s="257" t="s">
        <v>461</v>
      </c>
      <c r="F11" s="258">
        <v>235411782.06301099</v>
      </c>
      <c r="G11" s="259">
        <v>26.873491082993041</v>
      </c>
    </row>
    <row r="12" spans="1:7">
      <c r="A12" s="260">
        <v>2012</v>
      </c>
      <c r="B12" s="261" t="s">
        <v>70</v>
      </c>
      <c r="C12" s="261" t="s">
        <v>279</v>
      </c>
      <c r="D12" s="261" t="s">
        <v>344</v>
      </c>
      <c r="E12" s="261" t="s">
        <v>925</v>
      </c>
      <c r="F12" s="262">
        <v>80481975.939026237</v>
      </c>
      <c r="G12" s="263">
        <v>9.1874399614753202</v>
      </c>
    </row>
    <row r="13" spans="1:7">
      <c r="A13" s="256">
        <v>2012</v>
      </c>
      <c r="B13" s="257" t="s">
        <v>70</v>
      </c>
      <c r="C13" s="257" t="s">
        <v>279</v>
      </c>
      <c r="D13" s="257" t="s">
        <v>347</v>
      </c>
      <c r="E13" s="257" t="s">
        <v>347</v>
      </c>
      <c r="F13" s="258">
        <v>70910.539999999994</v>
      </c>
      <c r="G13" s="259">
        <v>8.0948104332492221E-3</v>
      </c>
    </row>
    <row r="14" spans="1:7">
      <c r="A14" s="252">
        <v>2013</v>
      </c>
      <c r="B14" s="253" t="s">
        <v>70</v>
      </c>
      <c r="C14" s="253" t="s">
        <v>279</v>
      </c>
      <c r="D14" s="253" t="s">
        <v>344</v>
      </c>
      <c r="E14" s="253" t="s">
        <v>427</v>
      </c>
      <c r="F14" s="254">
        <v>8710077.1121601518</v>
      </c>
      <c r="G14" s="255">
        <v>0.99430102713313318</v>
      </c>
    </row>
    <row r="15" spans="1:7">
      <c r="A15" s="256">
        <v>2013</v>
      </c>
      <c r="B15" s="257" t="s">
        <v>70</v>
      </c>
      <c r="C15" s="257" t="s">
        <v>279</v>
      </c>
      <c r="D15" s="257" t="s">
        <v>344</v>
      </c>
      <c r="E15" s="257" t="s">
        <v>461</v>
      </c>
      <c r="F15" s="258">
        <v>324862884.54250413</v>
      </c>
      <c r="G15" s="259">
        <v>37.084804296974198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B1:F19"/>
  <sheetViews>
    <sheetView workbookViewId="0">
      <selection activeCell="E6" sqref="E6:H13"/>
    </sheetView>
  </sheetViews>
  <sheetFormatPr defaultRowHeight="12.75"/>
  <cols>
    <col min="1" max="1" width="9.140625" style="179"/>
    <col min="2" max="2" width="54.140625" style="179" customWidth="1"/>
    <col min="3" max="16384" width="9.140625" style="179"/>
  </cols>
  <sheetData>
    <row r="1" spans="2:6">
      <c r="C1" s="179" t="s">
        <v>926</v>
      </c>
      <c r="E1" s="179" t="s">
        <v>965</v>
      </c>
    </row>
    <row r="2" spans="2:6">
      <c r="B2" s="179" t="s">
        <v>888</v>
      </c>
      <c r="C2" s="179" t="s">
        <v>889</v>
      </c>
    </row>
    <row r="3" spans="2:6">
      <c r="B3" s="245" t="s">
        <v>890</v>
      </c>
      <c r="C3" s="246">
        <f>'[3]Summary Tables'!H49</f>
        <v>8.1081096380314688E-2</v>
      </c>
      <c r="D3" s="246"/>
      <c r="E3" s="246"/>
      <c r="F3" s="246"/>
    </row>
    <row r="4" spans="2:6">
      <c r="B4" s="245" t="s">
        <v>891</v>
      </c>
      <c r="C4" s="246">
        <f>'[3]Summary Tables'!H50</f>
        <v>2.2238302428260096E-2</v>
      </c>
      <c r="D4" s="246"/>
      <c r="E4" s="246"/>
      <c r="F4" s="246"/>
    </row>
    <row r="5" spans="2:6">
      <c r="B5" s="245" t="s">
        <v>892</v>
      </c>
      <c r="C5" s="246">
        <f>'[3]Summary Tables'!H51</f>
        <v>4.3690429447174121E-4</v>
      </c>
      <c r="D5" s="246"/>
      <c r="E5" s="246"/>
      <c r="F5" s="246"/>
    </row>
    <row r="6" spans="2:6">
      <c r="B6" t="s">
        <v>903</v>
      </c>
      <c r="C6" s="246">
        <f>'[3]Summary Tables'!H52</f>
        <v>6.7706707657562287E-2</v>
      </c>
      <c r="D6" s="247"/>
      <c r="E6" s="289"/>
      <c r="F6" s="247"/>
    </row>
    <row r="7" spans="2:6">
      <c r="B7" t="s">
        <v>905</v>
      </c>
      <c r="C7" s="246">
        <f>'[3]Summary Tables'!H53</f>
        <v>0.52245631623218058</v>
      </c>
      <c r="D7" s="247"/>
      <c r="E7" s="289"/>
      <c r="F7" s="247"/>
    </row>
    <row r="8" spans="2:6">
      <c r="B8" t="s">
        <v>907</v>
      </c>
      <c r="C8" s="246">
        <f>'[3]Summary Tables'!H54</f>
        <v>5.2089564583772424E-2</v>
      </c>
      <c r="D8" s="247"/>
      <c r="E8" s="289"/>
      <c r="F8" s="247"/>
    </row>
    <row r="9" spans="2:6">
      <c r="B9" s="245" t="s">
        <v>893</v>
      </c>
      <c r="C9" s="246">
        <f>'[3]Summary Tables'!H55</f>
        <v>4.4519699203299436E-2</v>
      </c>
      <c r="D9" s="246"/>
      <c r="E9" s="246"/>
      <c r="F9" s="246"/>
    </row>
    <row r="10" spans="2:6">
      <c r="B10" s="245" t="s">
        <v>894</v>
      </c>
      <c r="C10" s="246">
        <f>'[3]Summary Tables'!H56</f>
        <v>2.7146974784998612E-2</v>
      </c>
      <c r="D10" s="246"/>
      <c r="E10" s="290"/>
      <c r="F10" s="246"/>
    </row>
    <row r="11" spans="2:6">
      <c r="B11" s="245" t="s">
        <v>895</v>
      </c>
      <c r="C11" s="246">
        <f>'[3]Summary Tables'!H57</f>
        <v>2.0455466875122243E-3</v>
      </c>
      <c r="D11" s="246"/>
      <c r="E11" s="246"/>
      <c r="F11" s="246"/>
    </row>
    <row r="12" spans="2:6">
      <c r="B12" s="245" t="s">
        <v>896</v>
      </c>
      <c r="C12" s="246">
        <f>'[3]Summary Tables'!H58</f>
        <v>1.4160782440713806E-2</v>
      </c>
      <c r="D12" s="246"/>
      <c r="E12" s="246"/>
      <c r="F12" s="246"/>
    </row>
    <row r="13" spans="2:6">
      <c r="B13" s="245" t="s">
        <v>897</v>
      </c>
      <c r="C13" s="246">
        <f>'[3]Summary Tables'!H59</f>
        <v>0.14309044911569505</v>
      </c>
      <c r="D13" s="246"/>
      <c r="E13" s="246"/>
      <c r="F13" s="246"/>
    </row>
    <row r="14" spans="2:6">
      <c r="B14" s="245" t="s">
        <v>898</v>
      </c>
      <c r="C14" s="246">
        <f>'[3]Summary Tables'!H60</f>
        <v>1.1758790054771059E-2</v>
      </c>
      <c r="D14" s="246"/>
      <c r="E14" s="246"/>
      <c r="F14" s="246"/>
    </row>
    <row r="15" spans="2:6">
      <c r="B15" s="245" t="s">
        <v>899</v>
      </c>
      <c r="C15" s="246">
        <f>'[3]Summary Tables'!H61</f>
        <v>1.8451136646785988E-4</v>
      </c>
      <c r="D15" s="246"/>
      <c r="E15" s="246"/>
      <c r="F15" s="246"/>
    </row>
    <row r="16" spans="2:6">
      <c r="B16" s="245" t="s">
        <v>900</v>
      </c>
      <c r="C16" s="246">
        <f>'[3]Summary Tables'!H62</f>
        <v>2.2775014342185534E-3</v>
      </c>
      <c r="D16" s="246"/>
      <c r="E16" s="246"/>
      <c r="F16" s="246"/>
    </row>
    <row r="17" spans="2:6">
      <c r="B17" s="245" t="s">
        <v>901</v>
      </c>
      <c r="C17" s="246">
        <f>'[3]Summary Tables'!H63</f>
        <v>8.8068533357615695E-3</v>
      </c>
      <c r="D17" s="246"/>
      <c r="E17" s="246"/>
      <c r="F17" s="246"/>
    </row>
    <row r="19" spans="2:6">
      <c r="C19" s="247">
        <f>SUM(C3:C17)</f>
        <v>1.0000000000000002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CW7"/>
  <sheetViews>
    <sheetView workbookViewId="0">
      <selection sqref="A1:EA7"/>
    </sheetView>
  </sheetViews>
  <sheetFormatPr defaultRowHeight="12.75"/>
  <sheetData>
    <row r="1" spans="1:101" ht="13.5" thickBot="1">
      <c r="A1" s="135" t="s">
        <v>737</v>
      </c>
      <c r="B1" s="134"/>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c r="CA1" s="149"/>
      <c r="CB1" s="149"/>
      <c r="CC1" s="149"/>
      <c r="CD1" s="149"/>
      <c r="CE1" s="149"/>
      <c r="CF1" s="149"/>
      <c r="CG1" s="149"/>
      <c r="CH1" s="149"/>
      <c r="CI1" s="149"/>
      <c r="CJ1" s="149"/>
      <c r="CK1" s="149"/>
      <c r="CL1" s="149"/>
      <c r="CM1" s="149"/>
      <c r="CN1" s="149"/>
      <c r="CO1" s="149"/>
      <c r="CP1" s="149"/>
      <c r="CQ1" s="149"/>
      <c r="CR1" s="149"/>
      <c r="CS1" s="149"/>
      <c r="CT1" s="149"/>
      <c r="CU1" s="149"/>
      <c r="CV1" s="149"/>
      <c r="CW1" s="149"/>
    </row>
    <row r="2" spans="1:101" ht="13.5" thickBot="1">
      <c r="A2" s="170"/>
      <c r="B2" s="171"/>
      <c r="C2" s="159"/>
      <c r="D2" s="159"/>
      <c r="E2" s="159"/>
      <c r="F2" s="159"/>
      <c r="G2" s="159"/>
      <c r="H2" s="159"/>
      <c r="I2" s="159"/>
      <c r="J2" s="159"/>
      <c r="K2" s="159"/>
      <c r="L2" s="159"/>
      <c r="M2" s="159"/>
      <c r="N2" s="159"/>
      <c r="O2" s="172" t="s">
        <v>910</v>
      </c>
      <c r="P2" s="173"/>
      <c r="Q2" s="173"/>
      <c r="R2" s="173"/>
      <c r="S2" s="173"/>
      <c r="T2" s="173"/>
      <c r="U2" s="173"/>
      <c r="V2" s="173"/>
      <c r="W2" s="173"/>
      <c r="X2" s="173"/>
      <c r="Y2" s="173"/>
      <c r="Z2" s="163"/>
      <c r="AA2" s="159"/>
      <c r="AB2" s="172" t="s">
        <v>911</v>
      </c>
      <c r="AC2" s="173"/>
      <c r="AD2" s="173"/>
      <c r="AE2" s="173"/>
      <c r="AF2" s="173"/>
      <c r="AG2" s="173"/>
      <c r="AH2" s="173"/>
      <c r="AI2" s="173"/>
      <c r="AJ2" s="173"/>
      <c r="AK2" s="173"/>
      <c r="AL2" s="173"/>
      <c r="AM2" s="163"/>
      <c r="AN2" s="149"/>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N2" s="149"/>
      <c r="BO2" s="149"/>
      <c r="BP2" s="149"/>
      <c r="BQ2" s="149"/>
      <c r="BR2" s="149"/>
      <c r="BS2" s="149"/>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row>
    <row r="3" spans="1:101" ht="204">
      <c r="A3" s="148" t="s">
        <v>67</v>
      </c>
      <c r="B3" s="147" t="s">
        <v>139</v>
      </c>
      <c r="C3" s="154" t="s">
        <v>738</v>
      </c>
      <c r="D3" s="154" t="s">
        <v>692</v>
      </c>
      <c r="E3" s="154" t="s">
        <v>693</v>
      </c>
      <c r="F3" s="154" t="s">
        <v>694</v>
      </c>
      <c r="G3" s="154" t="s">
        <v>695</v>
      </c>
      <c r="H3" s="154" t="s">
        <v>696</v>
      </c>
      <c r="I3" s="154" t="s">
        <v>697</v>
      </c>
      <c r="J3" s="154" t="s">
        <v>698</v>
      </c>
      <c r="K3" s="154" t="s">
        <v>673</v>
      </c>
      <c r="L3" s="154" t="s">
        <v>672</v>
      </c>
      <c r="M3" s="154" t="s">
        <v>699</v>
      </c>
      <c r="N3" s="154" t="s">
        <v>912</v>
      </c>
      <c r="O3" s="154" t="s">
        <v>700</v>
      </c>
      <c r="P3" s="154" t="s">
        <v>701</v>
      </c>
      <c r="Q3" s="154" t="s">
        <v>702</v>
      </c>
      <c r="R3" s="154" t="s">
        <v>703</v>
      </c>
      <c r="S3" s="154" t="s">
        <v>704</v>
      </c>
      <c r="T3" s="154" t="s">
        <v>705</v>
      </c>
      <c r="U3" s="154" t="s">
        <v>706</v>
      </c>
      <c r="V3" s="154" t="s">
        <v>707</v>
      </c>
      <c r="W3" s="154" t="s">
        <v>708</v>
      </c>
      <c r="X3" s="154" t="s">
        <v>709</v>
      </c>
      <c r="Y3" s="154" t="s">
        <v>710</v>
      </c>
      <c r="Z3" s="154" t="s">
        <v>711</v>
      </c>
      <c r="AA3" s="154"/>
      <c r="AB3" s="154" t="s">
        <v>700</v>
      </c>
      <c r="AC3" s="154" t="s">
        <v>701</v>
      </c>
      <c r="AD3" s="154" t="s">
        <v>702</v>
      </c>
      <c r="AE3" s="154" t="s">
        <v>703</v>
      </c>
      <c r="AF3" s="154" t="s">
        <v>704</v>
      </c>
      <c r="AG3" s="154" t="s">
        <v>705</v>
      </c>
      <c r="AH3" s="154" t="s">
        <v>706</v>
      </c>
      <c r="AI3" s="154" t="s">
        <v>707</v>
      </c>
      <c r="AJ3" s="154" t="s">
        <v>708</v>
      </c>
      <c r="AK3" s="154" t="s">
        <v>709</v>
      </c>
      <c r="AL3" s="154" t="s">
        <v>710</v>
      </c>
      <c r="AM3" s="154" t="s">
        <v>711</v>
      </c>
      <c r="AN3" s="149"/>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N3" s="149"/>
      <c r="BO3" s="149"/>
      <c r="BP3" s="149"/>
      <c r="BQ3" s="149"/>
      <c r="BR3" s="149"/>
      <c r="BS3" s="149"/>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row>
    <row r="4" spans="1:101">
      <c r="A4" t="s">
        <v>903</v>
      </c>
      <c r="C4" s="165">
        <v>10.945904277975469</v>
      </c>
      <c r="D4" s="165">
        <v>0.05</v>
      </c>
      <c r="E4" s="165">
        <v>1.0000000000000002E-2</v>
      </c>
      <c r="F4" s="165">
        <v>6.0000000000000005E-2</v>
      </c>
      <c r="G4" s="165">
        <v>-9.4217973700755486</v>
      </c>
      <c r="H4" s="165">
        <v>6.9927781391337085</v>
      </c>
      <c r="I4" s="165">
        <v>48.017960567915168</v>
      </c>
      <c r="J4" s="165">
        <v>-14.543558853153584</v>
      </c>
      <c r="K4" s="165">
        <v>-72.33729952335888</v>
      </c>
      <c r="L4" s="156">
        <v>17.841486992360295</v>
      </c>
      <c r="M4" s="165">
        <v>9.0906688898597293E-2</v>
      </c>
      <c r="N4" s="165">
        <v>2.8595977668409698E-3</v>
      </c>
      <c r="O4" s="165">
        <v>0.78316602900259658</v>
      </c>
      <c r="P4" s="165">
        <v>0.62289472856149797</v>
      </c>
      <c r="Q4" s="165">
        <v>0.6293221392943501</v>
      </c>
      <c r="R4" s="165">
        <v>0.5132584448867098</v>
      </c>
      <c r="S4" s="165">
        <v>0.46736815951193028</v>
      </c>
      <c r="T4" s="165">
        <v>0.48023095456652459</v>
      </c>
      <c r="U4" s="165">
        <v>0.39632999704473071</v>
      </c>
      <c r="V4" s="165">
        <v>0.45207438594396671</v>
      </c>
      <c r="W4" s="165">
        <v>0.49780218458920139</v>
      </c>
      <c r="X4" s="165">
        <v>0.72649910032878062</v>
      </c>
      <c r="Y4" s="165">
        <v>0.73337653013557191</v>
      </c>
      <c r="Z4" s="165">
        <v>0.80510228411086204</v>
      </c>
      <c r="AA4" s="165"/>
      <c r="AB4" s="165">
        <v>0.40856408957431911</v>
      </c>
      <c r="AC4" s="165">
        <v>0.31400087899487644</v>
      </c>
      <c r="AD4" s="165">
        <v>0.29265989259466058</v>
      </c>
      <c r="AE4" s="165">
        <v>0.28708496863088351</v>
      </c>
      <c r="AF4" s="165">
        <v>0.2789265250631528</v>
      </c>
      <c r="AG4" s="165">
        <v>0.26084535049161656</v>
      </c>
      <c r="AH4" s="165">
        <v>0.29757378163092152</v>
      </c>
      <c r="AI4" s="165">
        <v>0.26919930608206899</v>
      </c>
      <c r="AJ4" s="165">
        <v>0.31201880306670299</v>
      </c>
      <c r="AK4" s="165">
        <v>0.31018933426565282</v>
      </c>
      <c r="AL4" s="165">
        <v>0.39066305002352214</v>
      </c>
      <c r="AM4" s="149">
        <v>0.41675335958036747</v>
      </c>
      <c r="AN4" s="149"/>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N4" s="149"/>
      <c r="BO4" s="149"/>
      <c r="BP4" s="149"/>
      <c r="BQ4" s="149"/>
      <c r="BR4" s="149"/>
      <c r="BS4" s="149"/>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row>
    <row r="5" spans="1:101">
      <c r="A5" t="s">
        <v>905</v>
      </c>
      <c r="C5" s="165">
        <v>4.2972366607268073</v>
      </c>
      <c r="D5" s="165">
        <v>0.05</v>
      </c>
      <c r="E5" s="165">
        <v>1.0000000000000002E-2</v>
      </c>
      <c r="F5" s="165">
        <v>6.0000000000000005E-2</v>
      </c>
      <c r="G5" s="165">
        <v>-2.5807318634071548</v>
      </c>
      <c r="H5" s="165">
        <v>2.7498252697767298</v>
      </c>
      <c r="I5" s="165">
        <v>122.31115982127533</v>
      </c>
      <c r="J5" s="165">
        <v>-14.096209263213639</v>
      </c>
      <c r="K5" s="165">
        <v>-53.268788547414012</v>
      </c>
      <c r="L5" s="156">
        <v>12.863737641064043</v>
      </c>
      <c r="M5" s="165">
        <v>3.5757388817793549E-2</v>
      </c>
      <c r="N5" s="165">
        <v>1.1226453334995136E-3</v>
      </c>
      <c r="O5" s="165">
        <v>0.30746201371754167</v>
      </c>
      <c r="P5" s="165">
        <v>0.24454133668369918</v>
      </c>
      <c r="Q5" s="165">
        <v>0.24706466452700365</v>
      </c>
      <c r="R5" s="165">
        <v>0.20149938733090586</v>
      </c>
      <c r="S5" s="165">
        <v>0.18348338685477239</v>
      </c>
      <c r="T5" s="165">
        <v>0.18853317288106144</v>
      </c>
      <c r="U5" s="165">
        <v>0.15559461784014159</v>
      </c>
      <c r="V5" s="165">
        <v>0.17747922650510201</v>
      </c>
      <c r="W5" s="165">
        <v>0.1954314365521079</v>
      </c>
      <c r="X5" s="165">
        <v>0.2852152265025385</v>
      </c>
      <c r="Y5" s="165">
        <v>0.2879152266803936</v>
      </c>
      <c r="Z5" s="165">
        <v>0.31607393624640645</v>
      </c>
      <c r="AA5" s="165"/>
      <c r="AB5" s="165">
        <v>0.16039758245537711</v>
      </c>
      <c r="AC5" s="165">
        <v>0.12327314897429335</v>
      </c>
      <c r="AD5" s="165">
        <v>0.11489492212284845</v>
      </c>
      <c r="AE5" s="165">
        <v>0.11270627082191288</v>
      </c>
      <c r="AF5" s="165">
        <v>0.10950335931242107</v>
      </c>
      <c r="AG5" s="165">
        <v>0.10240489725167137</v>
      </c>
      <c r="AH5" s="165">
        <v>0.11682405868179428</v>
      </c>
      <c r="AI5" s="165">
        <v>0.10568456454216731</v>
      </c>
      <c r="AJ5" s="165">
        <v>0.1224950086647687</v>
      </c>
      <c r="AK5" s="165">
        <v>0.12177678016560786</v>
      </c>
      <c r="AL5" s="165">
        <v>0.15336983934075951</v>
      </c>
      <c r="AM5" s="149">
        <v>0.16361259607151027</v>
      </c>
      <c r="AN5" s="149"/>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N5" s="149"/>
      <c r="BO5" s="149"/>
      <c r="BP5" s="149"/>
      <c r="BQ5" s="149"/>
      <c r="BR5" s="149"/>
      <c r="BS5" s="149"/>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row>
    <row r="6" spans="1:101">
      <c r="A6" t="s">
        <v>907</v>
      </c>
      <c r="C6" s="165">
        <v>-1.2124345256655047</v>
      </c>
      <c r="D6" s="165">
        <v>6.6278200161046463E-2</v>
      </c>
      <c r="E6" s="165">
        <v>1.3255640032209293E-2</v>
      </c>
      <c r="F6" s="165">
        <v>7.9533840193255753E-2</v>
      </c>
      <c r="G6" s="165">
        <v>-3.315205682037516</v>
      </c>
      <c r="H6" s="165">
        <v>-0.77736376130856188</v>
      </c>
      <c r="I6" s="165">
        <v>-574.64252736492563</v>
      </c>
      <c r="J6" s="165">
        <v>9999</v>
      </c>
      <c r="K6" s="165">
        <v>9999</v>
      </c>
      <c r="L6" s="156">
        <v>3.4688575512396289</v>
      </c>
      <c r="M6" s="165">
        <v>-1.011161354908208E-2</v>
      </c>
      <c r="N6" s="165">
        <v>-3.1674633488346478E-4</v>
      </c>
      <c r="O6" s="165">
        <v>-8.6748203599924453E-2</v>
      </c>
      <c r="P6" s="165">
        <v>-6.8995585525318218E-2</v>
      </c>
      <c r="Q6" s="165">
        <v>-6.9707524391696127E-2</v>
      </c>
      <c r="R6" s="165">
        <v>-5.6851607995710554E-2</v>
      </c>
      <c r="S6" s="165">
        <v>-5.1768522581472284E-2</v>
      </c>
      <c r="T6" s="165">
        <v>-5.3193283517133788E-2</v>
      </c>
      <c r="U6" s="165">
        <v>-4.3899906281915313E-2</v>
      </c>
      <c r="V6" s="165">
        <v>-5.0074491770439176E-2</v>
      </c>
      <c r="W6" s="165">
        <v>-5.5139579172283071E-2</v>
      </c>
      <c r="X6" s="165">
        <v>-8.0471432029228185E-2</v>
      </c>
      <c r="Y6" s="165">
        <v>-8.1233217728594556E-2</v>
      </c>
      <c r="Z6" s="165">
        <v>-8.9177995820068606E-2</v>
      </c>
      <c r="AA6" s="165"/>
      <c r="AB6" s="165">
        <v>-4.5255028325409272E-2</v>
      </c>
      <c r="AC6" s="165">
        <v>-3.478063548835629E-2</v>
      </c>
      <c r="AD6" s="165">
        <v>-3.2416778828706659E-2</v>
      </c>
      <c r="AE6" s="165">
        <v>-3.1799266550142001E-2</v>
      </c>
      <c r="AF6" s="165">
        <v>-3.0895588022903871E-2</v>
      </c>
      <c r="AG6" s="165">
        <v>-2.8892807826915314E-2</v>
      </c>
      <c r="AH6" s="165">
        <v>-3.2961070882752824E-2</v>
      </c>
      <c r="AI6" s="165">
        <v>-2.9818142447657514E-2</v>
      </c>
      <c r="AJ6" s="165">
        <v>-3.4561088776930773E-2</v>
      </c>
      <c r="AK6" s="165">
        <v>-3.4358445753413368E-2</v>
      </c>
      <c r="AL6" s="165">
        <v>-4.3272200973231451E-2</v>
      </c>
      <c r="AM6" s="149">
        <v>-4.6162121375300839E-2</v>
      </c>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row>
    <row r="7" spans="1:101">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49"/>
      <c r="CN7" s="149"/>
      <c r="CO7" s="149"/>
      <c r="CP7" s="149"/>
      <c r="CQ7" s="149"/>
      <c r="CR7" s="149"/>
      <c r="CS7" s="149"/>
      <c r="CT7" s="149"/>
      <c r="CU7" s="149"/>
      <c r="CV7" s="149"/>
      <c r="CW7" s="14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8">
    <tabColor rgb="FFFFC000"/>
  </sheetPr>
  <dimension ref="A1:EA88"/>
  <sheetViews>
    <sheetView tabSelected="1" zoomScale="115" zoomScaleNormal="115" workbookViewId="0">
      <selection activeCell="U13" sqref="U13"/>
    </sheetView>
  </sheetViews>
  <sheetFormatPr defaultRowHeight="12.75"/>
  <cols>
    <col min="1" max="1" width="44.7109375" customWidth="1"/>
    <col min="2" max="2" width="43.425781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31">
      <c r="A1" s="5" t="s">
        <v>28</v>
      </c>
      <c r="B1" s="29"/>
      <c r="C1" s="29"/>
      <c r="D1" s="29"/>
      <c r="E1" s="29"/>
      <c r="F1" s="29"/>
      <c r="G1" s="29"/>
      <c r="H1" s="6"/>
      <c r="I1" s="7"/>
      <c r="J1" s="7"/>
      <c r="K1" s="7"/>
      <c r="L1" s="7"/>
      <c r="M1" s="7"/>
      <c r="N1" s="8"/>
      <c r="O1" s="30" t="e">
        <f>IF(AND(#REF!=TRUE,#REF!=TRUE,#REF!=TRUE),"","Re-run ProCost")</f>
        <v>#REF!</v>
      </c>
      <c r="P1" s="8"/>
      <c r="Q1" s="8"/>
      <c r="R1" s="8"/>
      <c r="S1" s="6"/>
      <c r="T1" s="6"/>
      <c r="U1" s="6"/>
      <c r="V1" s="8"/>
      <c r="W1" s="6"/>
      <c r="X1" s="6"/>
      <c r="Y1" s="6"/>
      <c r="Z1" s="6"/>
      <c r="AA1" s="6"/>
      <c r="AB1" s="6"/>
      <c r="AC1" s="6"/>
      <c r="AD1" s="6"/>
      <c r="AE1" s="6"/>
      <c r="AF1" s="6"/>
      <c r="AG1" s="6"/>
      <c r="AH1" s="6"/>
      <c r="AI1" s="6"/>
      <c r="AJ1" s="6"/>
      <c r="AK1" s="6"/>
      <c r="AL1" s="6"/>
      <c r="AM1" s="6"/>
      <c r="AN1" s="6"/>
      <c r="AO1" s="6"/>
      <c r="AP1" s="20"/>
      <c r="AQ1" s="6"/>
      <c r="AR1" s="6"/>
      <c r="AS1" s="6"/>
      <c r="AT1" s="6"/>
      <c r="AU1" s="6"/>
      <c r="AV1" s="20"/>
      <c r="AW1" s="6"/>
      <c r="AX1" s="6"/>
      <c r="AY1" s="6"/>
      <c r="AZ1" s="6"/>
      <c r="BA1" s="6"/>
      <c r="BB1" s="6"/>
      <c r="BC1" s="6"/>
      <c r="BD1" s="6"/>
      <c r="BE1" s="6"/>
      <c r="BF1" s="6"/>
      <c r="BG1" s="6"/>
      <c r="BH1" s="6"/>
      <c r="BI1" s="6"/>
      <c r="BJ1" s="6"/>
      <c r="BK1" s="6"/>
      <c r="BL1" s="6"/>
      <c r="BM1" s="18"/>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20"/>
      <c r="CQ1" s="6"/>
      <c r="CR1" s="6"/>
      <c r="CS1" s="6"/>
      <c r="CT1" s="6"/>
      <c r="CU1" s="6"/>
      <c r="CV1" s="6"/>
      <c r="CW1" s="6"/>
      <c r="CX1" s="6"/>
      <c r="CY1" s="6"/>
      <c r="CZ1" s="6"/>
      <c r="DA1" s="6"/>
    </row>
    <row r="2" spans="1:131">
      <c r="A2" s="17" t="s">
        <v>41</v>
      </c>
      <c r="B2" s="6"/>
      <c r="C2" s="6"/>
      <c r="D2" s="6"/>
      <c r="E2" s="6"/>
      <c r="F2" s="6" t="s">
        <v>574</v>
      </c>
      <c r="G2" s="6"/>
      <c r="H2" s="6"/>
      <c r="I2" s="7"/>
      <c r="J2" s="7"/>
      <c r="K2" s="7"/>
      <c r="L2" s="7"/>
      <c r="M2" s="7"/>
      <c r="N2" s="8"/>
      <c r="O2" s="8"/>
      <c r="P2" s="8"/>
      <c r="Q2" s="8"/>
      <c r="R2" s="8"/>
      <c r="S2" s="6"/>
      <c r="T2" s="6"/>
      <c r="U2" s="6"/>
      <c r="V2" s="8"/>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20"/>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row>
    <row r="3" spans="1:131">
      <c r="A3" s="17" t="s">
        <v>2</v>
      </c>
      <c r="C3" s="17">
        <v>2012</v>
      </c>
      <c r="J3" s="21"/>
      <c r="K3" s="22"/>
      <c r="CO3" s="22"/>
      <c r="CP3" s="22"/>
    </row>
    <row r="5" spans="1:131">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c r="T5" s="9">
        <v>20</v>
      </c>
      <c r="U5" s="9">
        <v>21</v>
      </c>
      <c r="V5" s="9">
        <v>22</v>
      </c>
      <c r="W5" s="9">
        <v>23</v>
      </c>
      <c r="X5" s="9">
        <v>24</v>
      </c>
      <c r="Y5" s="9">
        <v>25</v>
      </c>
      <c r="Z5" s="9">
        <v>26</v>
      </c>
      <c r="AA5" s="9">
        <v>27</v>
      </c>
      <c r="AB5" s="9">
        <v>28</v>
      </c>
      <c r="AC5" s="9">
        <v>29</v>
      </c>
      <c r="AD5" s="9">
        <v>30</v>
      </c>
      <c r="AE5" s="9">
        <v>31</v>
      </c>
      <c r="AF5" s="9">
        <v>32</v>
      </c>
      <c r="AG5" s="9">
        <v>33</v>
      </c>
      <c r="AH5" s="9">
        <v>34</v>
      </c>
      <c r="AI5" s="9">
        <v>35</v>
      </c>
      <c r="AJ5" s="9">
        <v>36</v>
      </c>
      <c r="AK5" s="9">
        <v>37</v>
      </c>
      <c r="AL5" s="9">
        <v>38</v>
      </c>
      <c r="AM5" s="9">
        <v>39</v>
      </c>
      <c r="AN5" s="9">
        <v>40</v>
      </c>
      <c r="AO5" s="9">
        <v>41</v>
      </c>
      <c r="AP5" s="9">
        <v>42</v>
      </c>
      <c r="AQ5" s="9">
        <v>43</v>
      </c>
      <c r="AR5" s="9">
        <v>44</v>
      </c>
      <c r="AS5" s="9">
        <v>45</v>
      </c>
      <c r="AT5" s="9">
        <v>46</v>
      </c>
      <c r="AU5" s="9">
        <v>47</v>
      </c>
      <c r="AV5" s="9">
        <v>48</v>
      </c>
      <c r="AW5" s="9">
        <v>49</v>
      </c>
      <c r="AX5" s="9">
        <v>50</v>
      </c>
      <c r="AY5" s="9">
        <v>51</v>
      </c>
      <c r="AZ5" s="9">
        <v>52</v>
      </c>
      <c r="BA5" s="9">
        <v>53</v>
      </c>
      <c r="BB5" s="9">
        <v>54</v>
      </c>
      <c r="BC5" s="9">
        <v>55</v>
      </c>
      <c r="BD5" s="9">
        <v>56</v>
      </c>
      <c r="BE5" s="9">
        <v>57</v>
      </c>
      <c r="BF5" s="9">
        <v>58</v>
      </c>
      <c r="BG5" s="9">
        <v>59</v>
      </c>
      <c r="BH5" s="9">
        <v>60</v>
      </c>
      <c r="BI5" s="9">
        <v>61</v>
      </c>
      <c r="BJ5" s="9">
        <v>62</v>
      </c>
      <c r="BK5" s="9">
        <v>63</v>
      </c>
      <c r="BL5" s="9">
        <v>64</v>
      </c>
      <c r="BM5" s="9">
        <v>65</v>
      </c>
      <c r="BN5" s="9">
        <v>66</v>
      </c>
      <c r="BO5" s="9">
        <v>67</v>
      </c>
      <c r="BP5" s="9">
        <v>68</v>
      </c>
      <c r="BQ5" s="9">
        <v>69</v>
      </c>
      <c r="BR5" s="9">
        <v>70</v>
      </c>
      <c r="BS5" s="9">
        <v>71</v>
      </c>
      <c r="BT5" s="9">
        <v>72</v>
      </c>
      <c r="BU5" s="9">
        <v>73</v>
      </c>
      <c r="BV5" s="9">
        <v>74</v>
      </c>
      <c r="BW5" s="9">
        <v>75</v>
      </c>
      <c r="BX5" s="9">
        <v>76</v>
      </c>
      <c r="BY5" s="9">
        <v>77</v>
      </c>
      <c r="BZ5" s="9">
        <v>78</v>
      </c>
      <c r="CA5" s="9">
        <v>79</v>
      </c>
      <c r="CB5" s="9">
        <v>80</v>
      </c>
      <c r="CC5" s="9">
        <v>81</v>
      </c>
      <c r="CD5" s="9">
        <v>82</v>
      </c>
      <c r="CE5" s="9">
        <v>83</v>
      </c>
      <c r="CF5" s="9">
        <v>84</v>
      </c>
      <c r="CG5" s="9">
        <v>85</v>
      </c>
      <c r="CH5" s="9">
        <v>86</v>
      </c>
      <c r="CI5" s="9">
        <v>87</v>
      </c>
      <c r="CJ5" s="9">
        <v>88</v>
      </c>
      <c r="CK5" s="9">
        <v>89</v>
      </c>
      <c r="CL5" s="9">
        <v>90</v>
      </c>
      <c r="CM5" s="9">
        <v>91</v>
      </c>
      <c r="CN5" s="9">
        <v>92</v>
      </c>
      <c r="CO5" s="9">
        <v>93</v>
      </c>
      <c r="CP5" s="9">
        <v>94</v>
      </c>
      <c r="CQ5" s="9">
        <v>95</v>
      </c>
      <c r="CR5" s="9">
        <v>96</v>
      </c>
      <c r="CS5" s="9">
        <v>97</v>
      </c>
      <c r="CT5" s="9">
        <v>98</v>
      </c>
      <c r="CU5" s="9">
        <v>99</v>
      </c>
      <c r="CV5" s="9">
        <v>100</v>
      </c>
      <c r="CW5" s="9">
        <v>101</v>
      </c>
      <c r="CX5" s="9">
        <v>102</v>
      </c>
      <c r="CY5" s="9">
        <v>103</v>
      </c>
      <c r="CZ5" s="9">
        <v>104</v>
      </c>
      <c r="DA5" s="9">
        <v>105</v>
      </c>
    </row>
    <row r="6" spans="1:131">
      <c r="A6" s="1" t="s">
        <v>18</v>
      </c>
      <c r="B6" s="2"/>
      <c r="C6" s="2"/>
      <c r="D6" s="2"/>
      <c r="E6" s="2"/>
      <c r="F6" s="2"/>
      <c r="G6" s="3"/>
      <c r="H6" s="4"/>
      <c r="I6" s="378" t="s">
        <v>4</v>
      </c>
      <c r="J6" s="379"/>
      <c r="K6" s="379"/>
      <c r="L6" s="379"/>
      <c r="M6" s="379"/>
      <c r="N6" s="380"/>
      <c r="O6" s="376" t="s">
        <v>40</v>
      </c>
      <c r="P6" s="377"/>
      <c r="Q6" s="31" t="s">
        <v>123</v>
      </c>
      <c r="R6" s="381" t="s">
        <v>122</v>
      </c>
      <c r="S6" s="381"/>
      <c r="T6" s="381"/>
      <c r="U6" s="13"/>
      <c r="V6" s="13"/>
      <c r="W6" s="13"/>
      <c r="X6" s="14"/>
      <c r="Y6" s="15"/>
      <c r="Z6" s="13"/>
      <c r="AA6" s="13"/>
      <c r="AB6" s="13"/>
      <c r="AC6" s="13"/>
      <c r="AD6" s="13"/>
      <c r="AE6" s="12"/>
      <c r="AF6" s="12"/>
      <c r="AG6" s="12"/>
      <c r="AH6" s="12"/>
      <c r="AI6" s="12"/>
      <c r="AJ6" s="12"/>
      <c r="AK6" s="12"/>
      <c r="AL6" s="12"/>
      <c r="AM6" s="12"/>
      <c r="AN6" s="12"/>
      <c r="AO6" s="12"/>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row>
    <row r="7" spans="1:131" ht="25.5">
      <c r="A7" s="28" t="s">
        <v>19</v>
      </c>
      <c r="B7" s="28" t="s">
        <v>20</v>
      </c>
      <c r="C7" s="28" t="s">
        <v>29</v>
      </c>
      <c r="D7" s="28" t="s">
        <v>30</v>
      </c>
      <c r="E7" s="28" t="s">
        <v>31</v>
      </c>
      <c r="F7" s="10" t="s">
        <v>32</v>
      </c>
      <c r="G7" s="28" t="s">
        <v>21</v>
      </c>
      <c r="H7" s="11" t="s">
        <v>33</v>
      </c>
      <c r="I7" s="11" t="s">
        <v>22</v>
      </c>
      <c r="J7" s="11" t="s">
        <v>23</v>
      </c>
      <c r="K7" s="11" t="s">
        <v>24</v>
      </c>
      <c r="L7" s="11" t="s">
        <v>25</v>
      </c>
      <c r="M7" s="11" t="s">
        <v>26</v>
      </c>
      <c r="N7" s="11" t="s">
        <v>27</v>
      </c>
      <c r="O7" s="19" t="s">
        <v>5</v>
      </c>
      <c r="P7" s="11" t="s">
        <v>21</v>
      </c>
      <c r="Q7" s="32" t="s">
        <v>127</v>
      </c>
      <c r="R7" s="33" t="s">
        <v>124</v>
      </c>
      <c r="S7" s="33" t="s">
        <v>125</v>
      </c>
      <c r="T7" s="33" t="s">
        <v>126</v>
      </c>
      <c r="U7" s="16"/>
      <c r="V7" s="16"/>
      <c r="W7" s="16"/>
      <c r="X7" s="16"/>
      <c r="Y7" s="16"/>
      <c r="Z7" s="16"/>
      <c r="AA7" s="16"/>
      <c r="AB7" s="16"/>
      <c r="AC7" s="16"/>
      <c r="AD7" s="16"/>
      <c r="AE7" s="12"/>
      <c r="AF7" s="12"/>
      <c r="AG7" s="12"/>
      <c r="AH7" s="12"/>
      <c r="AI7" s="12"/>
      <c r="AJ7" s="12"/>
      <c r="AK7" s="12"/>
      <c r="AL7" s="12"/>
      <c r="AM7" s="12"/>
      <c r="AN7" s="12"/>
      <c r="AO7" s="12"/>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row>
    <row r="8" spans="1:131" s="37" customFormat="1">
      <c r="A8" t="str">
        <f>'SavingsData&amp;Analysis'!AR7</f>
        <v>all45lm/WGeneral Purpose and Dimmable250 to 664 lumensANY</v>
      </c>
      <c r="B8" t="str">
        <f>'SavingsData&amp;Analysis'!AS7</f>
        <v>45lm/WGeneral Purpose and Dimmable250 to 664 lumensANY</v>
      </c>
      <c r="C8" s="149">
        <f>'SavingsData&amp;Analysis'!AT7</f>
        <v>10.181969784907883</v>
      </c>
      <c r="D8" s="149">
        <f>'SavingsData&amp;Analysis'!AU7</f>
        <v>8.5397834253252132</v>
      </c>
      <c r="E8">
        <f>'SavingsData&amp;Analysis'!AV7</f>
        <v>0.05</v>
      </c>
      <c r="F8">
        <f>'SavingsData&amp;Analysis'!AW7</f>
        <v>0</v>
      </c>
      <c r="G8" t="str">
        <f>'SavingsData&amp;Analysis'!AX7</f>
        <v>R-All-Lgt-Lighting-All-All-R</v>
      </c>
      <c r="H8">
        <f>'SavingsData&amp;Analysis'!AY7</f>
        <v>0</v>
      </c>
      <c r="I8">
        <f>'SavingsData&amp;Analysis'!AZ7</f>
        <v>-2.2922322650479003</v>
      </c>
      <c r="J8">
        <f>'SavingsData&amp;Analysis'!BA7</f>
        <v>2.2212671328668137</v>
      </c>
      <c r="K8">
        <f>'SavingsData&amp;Analysis'!BB7</f>
        <v>0</v>
      </c>
      <c r="L8">
        <f>'SavingsData&amp;Analysis'!BC7</f>
        <v>0</v>
      </c>
      <c r="M8">
        <f>'SavingsData&amp;Analysis'!BD7</f>
        <v>0</v>
      </c>
      <c r="N8">
        <f>'SavingsData&amp;Analysis'!BE7</f>
        <v>0</v>
      </c>
      <c r="O8">
        <f>'SavingsData&amp;Analysis'!BF7</f>
        <v>-0.11068959298702573</v>
      </c>
      <c r="P8" t="str">
        <f>'SavingsData&amp;Analysis'!BG7</f>
        <v>R-All-HVAC-ER-All-All-E</v>
      </c>
      <c r="Q8">
        <f>'SavingsData&amp;Analysis'!BH7</f>
        <v>0</v>
      </c>
      <c r="R8">
        <f>'SavingsData&amp;Analysis'!BI7</f>
        <v>0</v>
      </c>
      <c r="S8">
        <f>'SavingsData&amp;Analysis'!BJ7</f>
        <v>0</v>
      </c>
      <c r="T8">
        <f>'SavingsData&amp;Analysis'!BK7</f>
        <v>0</v>
      </c>
      <c r="U8"/>
      <c r="V8"/>
      <c r="W8">
        <v>37</v>
      </c>
      <c r="X8">
        <v>1</v>
      </c>
      <c r="Y8">
        <v>1</v>
      </c>
      <c r="Z8">
        <v>1</v>
      </c>
      <c r="AA8">
        <v>1</v>
      </c>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row>
    <row r="9" spans="1:131" s="37" customFormat="1">
      <c r="A9" t="str">
        <f>'SavingsData&amp;Analysis'!AR8</f>
        <v>all45lm/WGeneral Purpose and Dimmable665 to 1439 lumensANY</v>
      </c>
      <c r="B9" t="str">
        <f>'SavingsData&amp;Analysis'!AS8</f>
        <v>45lm/WGeneral Purpose and Dimmable665 to 1439 lumensANY</v>
      </c>
      <c r="C9" s="149">
        <f>'SavingsData&amp;Analysis'!AT8</f>
        <v>3.9973247277667134</v>
      </c>
      <c r="D9" s="149">
        <f>'SavingsData&amp;Analysis'!AU8</f>
        <v>7.9445543113898527</v>
      </c>
      <c r="E9">
        <f>'SavingsData&amp;Analysis'!AV8</f>
        <v>0.05</v>
      </c>
      <c r="F9">
        <f>'SavingsData&amp;Analysis'!AW8</f>
        <v>0</v>
      </c>
      <c r="G9" t="str">
        <f>'SavingsData&amp;Analysis'!AX8</f>
        <v>R-All-Lgt-Lighting-All-All-R</v>
      </c>
      <c r="H9">
        <f>'SavingsData&amp;Analysis'!AY8</f>
        <v>0</v>
      </c>
      <c r="I9">
        <f>'SavingsData&amp;Analysis'!AZ8</f>
        <v>-1.8938582807005411</v>
      </c>
      <c r="J9">
        <f>'SavingsData&amp;Analysis'!BA8</f>
        <v>4.3220699727314233</v>
      </c>
      <c r="K9">
        <f>'SavingsData&amp;Analysis'!BB8</f>
        <v>0</v>
      </c>
      <c r="L9">
        <f>'SavingsData&amp;Analysis'!BC8</f>
        <v>0</v>
      </c>
      <c r="M9">
        <f>'SavingsData&amp;Analysis'!BD8</f>
        <v>0</v>
      </c>
      <c r="N9">
        <f>'SavingsData&amp;Analysis'!BE8</f>
        <v>0</v>
      </c>
      <c r="O9">
        <f>'SavingsData&amp;Analysis'!BF8</f>
        <v>-4.2876098903839567E-2</v>
      </c>
      <c r="P9" t="str">
        <f>'SavingsData&amp;Analysis'!BG8</f>
        <v>R-All-HVAC-ER-All-All-E</v>
      </c>
      <c r="Q9">
        <f>'SavingsData&amp;Analysis'!BH8</f>
        <v>0</v>
      </c>
      <c r="R9">
        <f>'SavingsData&amp;Analysis'!BI8</f>
        <v>0</v>
      </c>
      <c r="S9">
        <f>'SavingsData&amp;Analysis'!BJ8</f>
        <v>0</v>
      </c>
      <c r="T9">
        <f>'SavingsData&amp;Analysis'!BK8</f>
        <v>0</v>
      </c>
      <c r="U9"/>
      <c r="V9"/>
      <c r="W9">
        <v>31</v>
      </c>
      <c r="X9">
        <v>1</v>
      </c>
      <c r="Y9">
        <v>1</v>
      </c>
      <c r="Z9">
        <v>1</v>
      </c>
      <c r="AA9">
        <v>1</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row>
    <row r="10" spans="1:131">
      <c r="A10" t="str">
        <f>'SavingsData&amp;Analysis'!AR9</f>
        <v>all45lm/WGeneral Purpose and Dimmable1440 to 2600 lumensANY</v>
      </c>
      <c r="B10" t="str">
        <f>'SavingsData&amp;Analysis'!AS9</f>
        <v>45lm/WGeneral Purpose and Dimmable1440 to 2600 lumensANY</v>
      </c>
      <c r="C10" s="149">
        <f>'SavingsData&amp;Analysis'!AT9</f>
        <v>-1.1278165232401054</v>
      </c>
      <c r="D10" s="149">
        <f>'SavingsData&amp;Analysis'!AU9</f>
        <v>7.4879032412351636</v>
      </c>
      <c r="E10" s="248">
        <f>'SavingsData&amp;Analysis'!AV9</f>
        <v>6.6278200161046463E-2</v>
      </c>
      <c r="F10">
        <f>'SavingsData&amp;Analysis'!AW9</f>
        <v>0</v>
      </c>
      <c r="G10" t="str">
        <f>'SavingsData&amp;Analysis'!AX9</f>
        <v>R-All-Lgt-Lighting-All-All-R</v>
      </c>
      <c r="H10">
        <f>'SavingsData&amp;Analysis'!AY9</f>
        <v>0</v>
      </c>
      <c r="I10">
        <f>'SavingsData&amp;Analysis'!AZ9</f>
        <v>-1.8248331017915318</v>
      </c>
      <c r="J10">
        <f>'SavingsData&amp;Analysis'!BA9</f>
        <v>3.8347243817323542</v>
      </c>
      <c r="K10">
        <f>'SavingsData&amp;Analysis'!BB9</f>
        <v>0</v>
      </c>
      <c r="L10">
        <f>'SavingsData&amp;Analysis'!BC9</f>
        <v>0</v>
      </c>
      <c r="M10">
        <f>'SavingsData&amp;Analysis'!BD9</f>
        <v>0</v>
      </c>
      <c r="N10">
        <f>'SavingsData&amp;Analysis'!BE9</f>
        <v>0</v>
      </c>
      <c r="O10">
        <f>'SavingsData&amp;Analysis'!BF9</f>
        <v>1.1903204440899809E-2</v>
      </c>
      <c r="P10" t="str">
        <f>'SavingsData&amp;Analysis'!BG9</f>
        <v>R-All-HVAC-ER-All-All-E</v>
      </c>
      <c r="Q10">
        <f>'SavingsData&amp;Analysis'!BH9</f>
        <v>0</v>
      </c>
      <c r="R10">
        <f>'SavingsData&amp;Analysis'!BI9</f>
        <v>0</v>
      </c>
      <c r="S10">
        <f>'SavingsData&amp;Analysis'!BJ9</f>
        <v>0</v>
      </c>
      <c r="T10">
        <f>'SavingsData&amp;Analysis'!BK9</f>
        <v>0</v>
      </c>
      <c r="W10">
        <v>37</v>
      </c>
      <c r="X10">
        <v>1</v>
      </c>
      <c r="Y10">
        <v>1</v>
      </c>
      <c r="Z10">
        <v>1</v>
      </c>
      <c r="AA10">
        <v>1</v>
      </c>
    </row>
    <row r="14" spans="1:131">
      <c r="A14" s="132" t="s">
        <v>56</v>
      </c>
      <c r="B14" s="131"/>
    </row>
    <row r="15" spans="1:131">
      <c r="A15" t="s">
        <v>583</v>
      </c>
      <c r="B15" t="s">
        <v>584</v>
      </c>
    </row>
    <row r="16" spans="1:131">
      <c r="A16" t="s">
        <v>585</v>
      </c>
      <c r="B16" t="s">
        <v>968</v>
      </c>
    </row>
    <row r="18" spans="1:35" ht="13.5" thickBot="1">
      <c r="A18" s="135" t="s">
        <v>586</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4"/>
    </row>
    <row r="19" spans="1:35">
      <c r="B19" s="136" t="s">
        <v>38</v>
      </c>
      <c r="C19" s="137"/>
      <c r="D19" s="137" t="s">
        <v>38</v>
      </c>
      <c r="E19" s="138"/>
      <c r="G19" s="136" t="s">
        <v>49</v>
      </c>
      <c r="H19" s="137"/>
      <c r="I19" s="137"/>
      <c r="J19" s="137"/>
      <c r="K19" s="137"/>
      <c r="L19" s="137"/>
      <c r="M19" s="137"/>
      <c r="N19" s="137"/>
      <c r="O19" s="138"/>
      <c r="Q19" s="136" t="s">
        <v>43</v>
      </c>
      <c r="R19" s="137"/>
      <c r="S19" s="137"/>
      <c r="T19" s="137"/>
      <c r="U19" s="138"/>
      <c r="W19" s="136" t="s">
        <v>42</v>
      </c>
      <c r="X19" s="138"/>
      <c r="Z19" s="136" t="s">
        <v>50</v>
      </c>
      <c r="AA19" s="137"/>
      <c r="AB19" s="138"/>
    </row>
    <row r="20" spans="1:35">
      <c r="B20" s="139" t="s">
        <v>39</v>
      </c>
      <c r="C20" s="140" t="s">
        <v>36</v>
      </c>
      <c r="D20" s="140" t="s">
        <v>39</v>
      </c>
      <c r="E20" s="141" t="s">
        <v>36</v>
      </c>
      <c r="G20" s="139" t="s">
        <v>35</v>
      </c>
      <c r="H20" s="140" t="s">
        <v>969</v>
      </c>
      <c r="I20" s="140"/>
      <c r="J20" s="140"/>
      <c r="K20" s="140" t="s">
        <v>53</v>
      </c>
      <c r="L20" s="140"/>
      <c r="M20" s="140"/>
      <c r="N20" s="140"/>
      <c r="O20" s="141"/>
      <c r="Q20" s="139"/>
      <c r="R20" s="140" t="s">
        <v>6</v>
      </c>
      <c r="S20" s="140" t="s">
        <v>579</v>
      </c>
      <c r="T20" s="140" t="s">
        <v>580</v>
      </c>
      <c r="U20" s="141" t="s">
        <v>581</v>
      </c>
      <c r="W20" s="139" t="s">
        <v>44</v>
      </c>
      <c r="X20" s="141">
        <v>20</v>
      </c>
      <c r="Z20" s="139"/>
      <c r="AA20" s="140" t="s">
        <v>36</v>
      </c>
      <c r="AB20" s="141" t="s">
        <v>37</v>
      </c>
    </row>
    <row r="21" spans="1:35">
      <c r="B21" s="139" t="s">
        <v>7</v>
      </c>
      <c r="C21" s="140" t="s">
        <v>133</v>
      </c>
      <c r="D21" s="140" t="s">
        <v>7</v>
      </c>
      <c r="E21" s="141" t="s">
        <v>133</v>
      </c>
      <c r="G21" s="139" t="s">
        <v>57</v>
      </c>
      <c r="H21" s="140" t="s">
        <v>576</v>
      </c>
      <c r="I21" s="140"/>
      <c r="J21" s="140"/>
      <c r="K21" s="140" t="s">
        <v>582</v>
      </c>
      <c r="L21" s="140"/>
      <c r="M21" s="140"/>
      <c r="N21" s="140"/>
      <c r="O21" s="141"/>
      <c r="Q21" s="139" t="s">
        <v>16</v>
      </c>
      <c r="R21" s="140">
        <v>4.3096045197740109E-2</v>
      </c>
      <c r="S21" s="140">
        <v>4.387844424080023E-2</v>
      </c>
      <c r="T21" s="140">
        <v>5.3289007766645871E-2</v>
      </c>
      <c r="U21" s="141">
        <v>5.447903102274565E-2</v>
      </c>
      <c r="W21" s="139" t="s">
        <v>45</v>
      </c>
      <c r="X21" s="141">
        <v>2016</v>
      </c>
      <c r="Z21" s="139" t="s">
        <v>130</v>
      </c>
      <c r="AA21" s="140">
        <v>4.03890184699085E-3</v>
      </c>
      <c r="AB21" s="141">
        <v>0.01</v>
      </c>
    </row>
    <row r="22" spans="1:35">
      <c r="B22" s="139" t="s">
        <v>8</v>
      </c>
      <c r="C22" s="140" t="s">
        <v>134</v>
      </c>
      <c r="D22" s="140" t="s">
        <v>8</v>
      </c>
      <c r="E22" s="141" t="s">
        <v>134</v>
      </c>
      <c r="G22" s="139" t="s">
        <v>58</v>
      </c>
      <c r="H22" s="140" t="s">
        <v>132</v>
      </c>
      <c r="I22" s="140"/>
      <c r="J22" s="140"/>
      <c r="K22" s="140" t="s">
        <v>54</v>
      </c>
      <c r="L22" s="140"/>
      <c r="M22" s="140"/>
      <c r="N22" s="140"/>
      <c r="O22" s="141"/>
      <c r="Q22" s="139" t="s">
        <v>0</v>
      </c>
      <c r="R22" s="140">
        <v>12</v>
      </c>
      <c r="S22" s="140">
        <v>12</v>
      </c>
      <c r="T22" s="140">
        <v>1</v>
      </c>
      <c r="U22" s="141">
        <v>1</v>
      </c>
      <c r="W22" s="139" t="s">
        <v>46</v>
      </c>
      <c r="X22" s="141">
        <v>2016</v>
      </c>
      <c r="Z22" s="139" t="s">
        <v>9</v>
      </c>
      <c r="AA22" s="140">
        <v>26</v>
      </c>
      <c r="AB22" s="141">
        <v>0</v>
      </c>
    </row>
    <row r="23" spans="1:35" ht="13.5" thickBot="1">
      <c r="B23" s="142" t="s">
        <v>3</v>
      </c>
      <c r="C23" s="143" t="s">
        <v>134</v>
      </c>
      <c r="D23" s="143" t="s">
        <v>3</v>
      </c>
      <c r="E23" s="144" t="s">
        <v>134</v>
      </c>
      <c r="G23" s="139" t="s">
        <v>59</v>
      </c>
      <c r="H23" s="140" t="s">
        <v>577</v>
      </c>
      <c r="I23" s="140"/>
      <c r="J23" s="140"/>
      <c r="K23" s="140" t="s">
        <v>582</v>
      </c>
      <c r="L23" s="140"/>
      <c r="M23" s="140"/>
      <c r="N23" s="140"/>
      <c r="O23" s="141"/>
      <c r="Q23" s="139"/>
      <c r="R23" s="140" t="s">
        <v>6</v>
      </c>
      <c r="S23" s="140" t="s">
        <v>579</v>
      </c>
      <c r="T23" s="140" t="s">
        <v>580</v>
      </c>
      <c r="U23" s="141" t="s">
        <v>581</v>
      </c>
      <c r="W23" s="139" t="s">
        <v>1</v>
      </c>
      <c r="X23" s="141">
        <v>2012</v>
      </c>
      <c r="Z23" s="139" t="s">
        <v>128</v>
      </c>
      <c r="AA23" s="140">
        <v>0.9</v>
      </c>
      <c r="AB23" s="141" t="s">
        <v>121</v>
      </c>
    </row>
    <row r="24" spans="1:35">
      <c r="G24" s="139" t="s">
        <v>60</v>
      </c>
      <c r="H24" s="140" t="s">
        <v>132</v>
      </c>
      <c r="I24" s="140"/>
      <c r="J24" s="140"/>
      <c r="K24" s="140"/>
      <c r="L24" s="140"/>
      <c r="M24" s="140"/>
      <c r="N24" s="140"/>
      <c r="O24" s="141"/>
      <c r="Q24" s="139" t="s">
        <v>15</v>
      </c>
      <c r="R24" s="140">
        <v>0.35</v>
      </c>
      <c r="S24" s="140">
        <v>0.19500000000000001</v>
      </c>
      <c r="T24" s="140">
        <v>0.45499999999999996</v>
      </c>
      <c r="U24" s="141">
        <v>0</v>
      </c>
      <c r="W24" s="139" t="s">
        <v>47</v>
      </c>
      <c r="X24" s="141">
        <v>0.04</v>
      </c>
      <c r="Z24" s="139" t="s">
        <v>131</v>
      </c>
      <c r="AA24" s="140">
        <v>4.7399348199455904E-2</v>
      </c>
      <c r="AB24" s="141">
        <v>0</v>
      </c>
    </row>
    <row r="25" spans="1:35">
      <c r="B25" t="s">
        <v>587</v>
      </c>
      <c r="C25" t="s">
        <v>36</v>
      </c>
      <c r="G25" s="139" t="s">
        <v>61</v>
      </c>
      <c r="H25" s="140" t="s">
        <v>578</v>
      </c>
      <c r="I25" s="140"/>
      <c r="J25" s="140"/>
      <c r="K25" s="140" t="s">
        <v>11</v>
      </c>
      <c r="L25" s="140"/>
      <c r="M25" s="140"/>
      <c r="N25" s="140"/>
      <c r="O25" s="141"/>
      <c r="Q25" s="139" t="s">
        <v>14</v>
      </c>
      <c r="R25" s="140">
        <v>1</v>
      </c>
      <c r="S25" s="140">
        <v>0</v>
      </c>
      <c r="T25" s="140">
        <v>0</v>
      </c>
      <c r="U25" s="141">
        <v>0</v>
      </c>
      <c r="W25" s="139" t="s">
        <v>34</v>
      </c>
      <c r="X25" s="141">
        <v>0</v>
      </c>
      <c r="Z25" s="139" t="s">
        <v>10</v>
      </c>
      <c r="AA25" s="140">
        <v>31</v>
      </c>
      <c r="AB25" s="141">
        <v>0</v>
      </c>
    </row>
    <row r="26" spans="1:35">
      <c r="B26" t="s">
        <v>588</v>
      </c>
      <c r="C26" t="s">
        <v>589</v>
      </c>
      <c r="G26" s="139" t="s">
        <v>62</v>
      </c>
      <c r="H26" s="140" t="s">
        <v>11</v>
      </c>
      <c r="I26" s="140"/>
      <c r="J26" s="140"/>
      <c r="K26" s="140" t="s">
        <v>51</v>
      </c>
      <c r="L26" s="140"/>
      <c r="M26" s="140"/>
      <c r="N26" s="140"/>
      <c r="O26" s="141"/>
      <c r="Q26" s="139" t="s">
        <v>13</v>
      </c>
      <c r="R26" s="140">
        <v>1</v>
      </c>
      <c r="S26" s="140">
        <v>0</v>
      </c>
      <c r="T26" s="140">
        <v>0</v>
      </c>
      <c r="U26" s="141">
        <v>0</v>
      </c>
      <c r="W26" s="139" t="s">
        <v>135</v>
      </c>
      <c r="X26" s="141">
        <v>0.2</v>
      </c>
      <c r="Z26" s="139" t="s">
        <v>129</v>
      </c>
      <c r="AA26" s="140">
        <v>0.7</v>
      </c>
      <c r="AB26" s="141" t="s">
        <v>121</v>
      </c>
    </row>
    <row r="27" spans="1:35">
      <c r="B27" t="s">
        <v>590</v>
      </c>
      <c r="C27" t="s">
        <v>591</v>
      </c>
      <c r="G27" s="139" t="s">
        <v>63</v>
      </c>
      <c r="H27" s="140" t="s">
        <v>51</v>
      </c>
      <c r="I27" s="140"/>
      <c r="J27" s="140"/>
      <c r="K27" s="140" t="s">
        <v>52</v>
      </c>
      <c r="L27" s="140"/>
      <c r="M27" s="140"/>
      <c r="N27" s="140"/>
      <c r="O27" s="141"/>
      <c r="Q27" s="139" t="s">
        <v>12</v>
      </c>
      <c r="R27" s="140"/>
      <c r="S27" s="140">
        <v>0.3</v>
      </c>
      <c r="T27" s="140">
        <v>0.7</v>
      </c>
      <c r="U27" s="141">
        <v>0</v>
      </c>
      <c r="W27" s="139" t="s">
        <v>48</v>
      </c>
      <c r="X27" s="141">
        <v>0</v>
      </c>
      <c r="Z27" s="139" t="s">
        <v>137</v>
      </c>
      <c r="AA27" s="140">
        <v>0</v>
      </c>
      <c r="AB27" s="141">
        <v>0</v>
      </c>
    </row>
    <row r="28" spans="1:35" ht="13.5" thickBot="1">
      <c r="B28" t="s">
        <v>592</v>
      </c>
      <c r="C28" t="s">
        <v>593</v>
      </c>
      <c r="G28" s="142" t="s">
        <v>64</v>
      </c>
      <c r="H28" s="143" t="s">
        <v>52</v>
      </c>
      <c r="I28" s="143"/>
      <c r="J28" s="143"/>
      <c r="K28" s="143"/>
      <c r="L28" s="143"/>
      <c r="M28" s="143"/>
      <c r="N28" s="143"/>
      <c r="O28" s="144"/>
      <c r="Q28" s="142" t="s">
        <v>55</v>
      </c>
      <c r="R28" s="143"/>
      <c r="S28" s="143">
        <v>20</v>
      </c>
      <c r="T28" s="143"/>
      <c r="U28" s="144"/>
      <c r="W28" s="142" t="s">
        <v>17</v>
      </c>
      <c r="X28" s="144">
        <v>2018</v>
      </c>
      <c r="Z28" s="142" t="s">
        <v>136</v>
      </c>
      <c r="AA28" s="143">
        <v>0</v>
      </c>
      <c r="AB28" s="144">
        <v>0</v>
      </c>
    </row>
    <row r="36" spans="1:101" ht="13.5" thickBot="1">
      <c r="A36" s="135" t="s">
        <v>65</v>
      </c>
      <c r="B36" s="134"/>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row>
    <row r="37" spans="1:101" ht="26.25" thickBot="1">
      <c r="A37" s="145" t="s">
        <v>594</v>
      </c>
      <c r="B37" s="146"/>
      <c r="C37" s="150" t="s">
        <v>595</v>
      </c>
      <c r="D37" s="151"/>
      <c r="E37" s="151"/>
      <c r="F37" s="151"/>
      <c r="G37" s="151"/>
      <c r="H37" s="151"/>
      <c r="I37" s="151"/>
      <c r="J37" s="151"/>
      <c r="K37" s="152"/>
      <c r="L37" s="150" t="s">
        <v>66</v>
      </c>
      <c r="M37" s="151"/>
      <c r="N37" s="151"/>
      <c r="O37" s="151"/>
      <c r="P37" s="151"/>
      <c r="Q37" s="152"/>
      <c r="R37" s="150" t="s">
        <v>596</v>
      </c>
      <c r="S37" s="151"/>
      <c r="T37" s="151"/>
      <c r="U37" s="152"/>
      <c r="V37" s="150" t="s">
        <v>597</v>
      </c>
      <c r="W37" s="151"/>
      <c r="X37" s="151"/>
      <c r="Y37" s="152"/>
      <c r="Z37" s="150" t="s">
        <v>598</v>
      </c>
      <c r="AA37" s="151"/>
      <c r="AB37" s="151"/>
      <c r="AC37" s="152"/>
      <c r="AD37" s="150" t="s">
        <v>599</v>
      </c>
      <c r="AE37" s="151"/>
      <c r="AF37" s="151"/>
      <c r="AG37" s="152"/>
      <c r="AH37" s="150" t="s">
        <v>600</v>
      </c>
      <c r="AI37" s="151"/>
      <c r="AJ37" s="151"/>
      <c r="AK37" s="151"/>
      <c r="AL37" s="152"/>
      <c r="AM37" s="150" t="s">
        <v>601</v>
      </c>
      <c r="AN37" s="151"/>
      <c r="AO37" s="151"/>
      <c r="AP37" s="151"/>
      <c r="AQ37" s="151"/>
      <c r="AR37" s="151"/>
      <c r="AS37" s="152"/>
      <c r="AT37" s="150" t="s">
        <v>602</v>
      </c>
      <c r="AU37" s="151"/>
      <c r="AV37" s="151"/>
      <c r="AW37" s="151"/>
      <c r="AX37" s="151"/>
      <c r="AY37" s="151"/>
      <c r="AZ37" s="152"/>
      <c r="BA37" s="150" t="s">
        <v>603</v>
      </c>
      <c r="BB37" s="151"/>
      <c r="BC37" s="151"/>
      <c r="BD37" s="151"/>
      <c r="BE37" s="151"/>
      <c r="BF37" s="152"/>
      <c r="BG37" s="150" t="s">
        <v>604</v>
      </c>
      <c r="BH37" s="152"/>
      <c r="BI37" s="150" t="s">
        <v>605</v>
      </c>
      <c r="BJ37" s="151"/>
      <c r="BK37" s="151"/>
      <c r="BL37" s="151"/>
      <c r="BM37" s="152"/>
      <c r="BN37" s="150" t="s">
        <v>606</v>
      </c>
      <c r="BO37" s="151"/>
      <c r="BP37" s="151"/>
      <c r="BQ37" s="151"/>
      <c r="BR37" s="151"/>
      <c r="BS37" s="151"/>
      <c r="BT37" s="151"/>
      <c r="BU37" s="151"/>
      <c r="BV37" s="151"/>
      <c r="BW37" s="151"/>
      <c r="BX37" s="151"/>
      <c r="BY37" s="151"/>
      <c r="BZ37" s="151"/>
      <c r="CA37" s="151"/>
      <c r="CB37" s="151"/>
      <c r="CC37" s="152"/>
      <c r="CD37" s="150" t="s">
        <v>607</v>
      </c>
      <c r="CE37" s="152"/>
      <c r="CF37" s="150" t="s">
        <v>608</v>
      </c>
      <c r="CG37" s="151"/>
      <c r="CH37" s="151"/>
      <c r="CI37" s="151"/>
      <c r="CJ37" s="151"/>
      <c r="CK37" s="152"/>
      <c r="CL37" s="153"/>
      <c r="CM37" s="150" t="s">
        <v>40</v>
      </c>
      <c r="CN37" s="151"/>
      <c r="CO37" s="151"/>
      <c r="CP37" s="152"/>
      <c r="CQ37" s="150" t="s">
        <v>609</v>
      </c>
      <c r="CR37" s="151"/>
      <c r="CS37" s="151"/>
      <c r="CT37" s="151"/>
      <c r="CU37" s="152"/>
      <c r="CV37" s="150" t="s">
        <v>610</v>
      </c>
      <c r="CW37" s="152"/>
    </row>
    <row r="38" spans="1:101" ht="127.5">
      <c r="A38" s="148" t="s">
        <v>67</v>
      </c>
      <c r="B38" s="147" t="s">
        <v>139</v>
      </c>
      <c r="C38" s="154" t="s">
        <v>575</v>
      </c>
      <c r="D38" s="154" t="s">
        <v>611</v>
      </c>
      <c r="E38" s="154" t="s">
        <v>612</v>
      </c>
      <c r="F38" s="154" t="s">
        <v>613</v>
      </c>
      <c r="G38" s="154" t="s">
        <v>614</v>
      </c>
      <c r="H38" s="154" t="s">
        <v>615</v>
      </c>
      <c r="I38" s="154" t="s">
        <v>616</v>
      </c>
      <c r="J38" s="154" t="s">
        <v>617</v>
      </c>
      <c r="K38" s="154" t="s">
        <v>618</v>
      </c>
      <c r="L38" s="154" t="s">
        <v>619</v>
      </c>
      <c r="M38" s="154" t="s">
        <v>620</v>
      </c>
      <c r="N38" s="154" t="s">
        <v>621</v>
      </c>
      <c r="O38" s="154" t="s">
        <v>622</v>
      </c>
      <c r="P38" s="154" t="s">
        <v>623</v>
      </c>
      <c r="Q38" s="154" t="s">
        <v>624</v>
      </c>
      <c r="R38" s="154" t="s">
        <v>625</v>
      </c>
      <c r="S38" s="154" t="s">
        <v>626</v>
      </c>
      <c r="T38" s="154" t="s">
        <v>627</v>
      </c>
      <c r="U38" s="154" t="s">
        <v>6</v>
      </c>
      <c r="V38" s="154" t="s">
        <v>625</v>
      </c>
      <c r="W38" s="154" t="s">
        <v>626</v>
      </c>
      <c r="X38" s="154" t="s">
        <v>627</v>
      </c>
      <c r="Y38" s="154" t="s">
        <v>6</v>
      </c>
      <c r="Z38" s="154" t="s">
        <v>625</v>
      </c>
      <c r="AA38" s="154" t="s">
        <v>626</v>
      </c>
      <c r="AB38" s="154" t="s">
        <v>627</v>
      </c>
      <c r="AC38" s="154" t="s">
        <v>6</v>
      </c>
      <c r="AD38" s="154" t="s">
        <v>625</v>
      </c>
      <c r="AE38" s="154" t="s">
        <v>626</v>
      </c>
      <c r="AF38" s="154" t="s">
        <v>627</v>
      </c>
      <c r="AG38" s="154" t="s">
        <v>6</v>
      </c>
      <c r="AH38" s="154" t="s">
        <v>625</v>
      </c>
      <c r="AI38" s="154" t="s">
        <v>626</v>
      </c>
      <c r="AJ38" s="154" t="s">
        <v>627</v>
      </c>
      <c r="AK38" s="154" t="s">
        <v>6</v>
      </c>
      <c r="AL38" s="154" t="s">
        <v>628</v>
      </c>
      <c r="AM38" s="154" t="s">
        <v>629</v>
      </c>
      <c r="AN38" s="154" t="s">
        <v>630</v>
      </c>
      <c r="AO38" s="154" t="s">
        <v>631</v>
      </c>
      <c r="AP38" s="154" t="s">
        <v>632</v>
      </c>
      <c r="AQ38" s="154" t="s">
        <v>633</v>
      </c>
      <c r="AR38" s="154" t="s">
        <v>634</v>
      </c>
      <c r="AS38" s="154" t="s">
        <v>635</v>
      </c>
      <c r="AT38" s="154" t="s">
        <v>636</v>
      </c>
      <c r="AU38" s="154" t="s">
        <v>637</v>
      </c>
      <c r="AV38" s="154" t="s">
        <v>638</v>
      </c>
      <c r="AW38" s="154" t="s">
        <v>639</v>
      </c>
      <c r="AX38" s="154" t="s">
        <v>640</v>
      </c>
      <c r="AY38" s="154" t="s">
        <v>641</v>
      </c>
      <c r="AZ38" s="154" t="s">
        <v>642</v>
      </c>
      <c r="BA38" s="154" t="s">
        <v>643</v>
      </c>
      <c r="BB38" s="154" t="s">
        <v>644</v>
      </c>
      <c r="BC38" s="154" t="s">
        <v>645</v>
      </c>
      <c r="BD38" s="154" t="s">
        <v>646</v>
      </c>
      <c r="BE38" s="154" t="s">
        <v>647</v>
      </c>
      <c r="BF38" s="154" t="s">
        <v>648</v>
      </c>
      <c r="BG38" s="154" t="s">
        <v>649</v>
      </c>
      <c r="BH38" s="154" t="s">
        <v>650</v>
      </c>
      <c r="BI38" s="154" t="s">
        <v>651</v>
      </c>
      <c r="BJ38" s="154" t="s">
        <v>652</v>
      </c>
      <c r="BK38" s="154" t="s">
        <v>653</v>
      </c>
      <c r="BL38" s="154" t="s">
        <v>654</v>
      </c>
      <c r="BM38" s="154" t="s">
        <v>655</v>
      </c>
      <c r="BN38" s="154" t="s">
        <v>656</v>
      </c>
      <c r="BO38" s="154" t="s">
        <v>657</v>
      </c>
      <c r="BP38" s="154" t="s">
        <v>658</v>
      </c>
      <c r="BQ38" s="154" t="s">
        <v>659</v>
      </c>
      <c r="BR38" s="154" t="s">
        <v>660</v>
      </c>
      <c r="BS38" s="154" t="s">
        <v>661</v>
      </c>
      <c r="BT38" s="154" t="s">
        <v>662</v>
      </c>
      <c r="BU38" s="154" t="s">
        <v>663</v>
      </c>
      <c r="BV38" s="154" t="s">
        <v>664</v>
      </c>
      <c r="BW38" s="154" t="s">
        <v>665</v>
      </c>
      <c r="BX38" s="154" t="s">
        <v>666</v>
      </c>
      <c r="BY38" s="154" t="s">
        <v>667</v>
      </c>
      <c r="BZ38" s="154" t="s">
        <v>668</v>
      </c>
      <c r="CA38" s="154" t="s">
        <v>669</v>
      </c>
      <c r="CB38" s="154" t="s">
        <v>670</v>
      </c>
      <c r="CC38" s="154" t="s">
        <v>671</v>
      </c>
      <c r="CD38" s="154" t="s">
        <v>672</v>
      </c>
      <c r="CE38" s="154" t="s">
        <v>673</v>
      </c>
      <c r="CF38" s="154" t="s">
        <v>674</v>
      </c>
      <c r="CG38" s="154" t="s">
        <v>675</v>
      </c>
      <c r="CH38" s="154" t="s">
        <v>676</v>
      </c>
      <c r="CI38" s="154" t="s">
        <v>913</v>
      </c>
      <c r="CJ38" s="154" t="s">
        <v>914</v>
      </c>
      <c r="CK38" s="154" t="s">
        <v>915</v>
      </c>
      <c r="CL38" s="154"/>
      <c r="CM38" s="154" t="s">
        <v>677</v>
      </c>
      <c r="CN38" s="154" t="s">
        <v>678</v>
      </c>
      <c r="CO38" s="154" t="s">
        <v>679</v>
      </c>
      <c r="CP38" s="154" t="s">
        <v>680</v>
      </c>
      <c r="CQ38" s="154" t="s">
        <v>681</v>
      </c>
      <c r="CR38" s="154" t="s">
        <v>682</v>
      </c>
      <c r="CS38" s="154" t="s">
        <v>683</v>
      </c>
      <c r="CT38" s="154" t="s">
        <v>684</v>
      </c>
      <c r="CU38" s="154" t="s">
        <v>685</v>
      </c>
      <c r="CV38" s="154" t="s">
        <v>686</v>
      </c>
      <c r="CW38" s="155" t="s">
        <v>687</v>
      </c>
    </row>
    <row r="39" spans="1:101">
      <c r="A39" t="s">
        <v>903</v>
      </c>
      <c r="B39" t="s">
        <v>904</v>
      </c>
      <c r="C39" s="149">
        <v>8.5397834253252132</v>
      </c>
      <c r="D39" s="149">
        <v>10.181969784907883</v>
      </c>
      <c r="E39" s="149">
        <v>-0.11068959298702573</v>
      </c>
      <c r="F39" s="149">
        <v>0.05</v>
      </c>
      <c r="G39" s="149">
        <v>0</v>
      </c>
      <c r="H39" s="149">
        <v>-9.5289448791071312</v>
      </c>
      <c r="I39" s="149" t="s">
        <v>771</v>
      </c>
      <c r="J39" s="149"/>
      <c r="K39" s="149"/>
      <c r="L39" s="149">
        <v>10.945904277975469</v>
      </c>
      <c r="M39" s="149">
        <v>2.8595977668409698E-3</v>
      </c>
      <c r="N39" s="149">
        <v>2.8389584725281663E-3</v>
      </c>
      <c r="O39" s="149">
        <v>-0.11179648915116283</v>
      </c>
      <c r="P39" s="149">
        <v>0</v>
      </c>
      <c r="Q39" s="149">
        <v>0</v>
      </c>
      <c r="R39" s="149">
        <v>9.970667925108612E-3</v>
      </c>
      <c r="S39" s="149">
        <v>2.3040697044895381E-2</v>
      </c>
      <c r="T39" s="149">
        <v>0</v>
      </c>
      <c r="U39" s="149">
        <v>6.4136144061579498E-2</v>
      </c>
      <c r="V39" s="149" t="s">
        <v>688</v>
      </c>
      <c r="W39" s="149" t="s">
        <v>688</v>
      </c>
      <c r="X39" s="149" t="s">
        <v>688</v>
      </c>
      <c r="Y39" s="149" t="s">
        <v>688</v>
      </c>
      <c r="Z39" s="149">
        <v>0</v>
      </c>
      <c r="AA39" s="149">
        <v>0</v>
      </c>
      <c r="AB39" s="149">
        <v>0</v>
      </c>
      <c r="AC39" s="149">
        <v>0</v>
      </c>
      <c r="AD39" s="149">
        <v>0</v>
      </c>
      <c r="AE39" s="149">
        <v>0</v>
      </c>
      <c r="AF39" s="149">
        <v>0</v>
      </c>
      <c r="AG39" s="149">
        <v>-9.5289448791071312</v>
      </c>
      <c r="AH39" s="149">
        <v>9.970667925108612E-3</v>
      </c>
      <c r="AI39" s="149">
        <v>2.3040697044895381E-2</v>
      </c>
      <c r="AJ39" s="149">
        <v>0</v>
      </c>
      <c r="AK39" s="149">
        <v>-9.4648087350455512</v>
      </c>
      <c r="AL39" s="149">
        <v>-9.4317973700755484</v>
      </c>
      <c r="AM39" s="149">
        <v>5.6537937559399536</v>
      </c>
      <c r="AN39" s="149">
        <v>1.0104345385344493</v>
      </c>
      <c r="AO39" s="149">
        <v>0</v>
      </c>
      <c r="AP39" s="149">
        <v>0</v>
      </c>
      <c r="AQ39" s="149">
        <v>6.6642282944744027</v>
      </c>
      <c r="AR39" s="149">
        <v>9.970667925108612E-3</v>
      </c>
      <c r="AS39" s="156">
        <v>668.38333645554724</v>
      </c>
      <c r="AT39" s="149">
        <v>5.6537937559399536</v>
      </c>
      <c r="AU39" s="149">
        <v>1.1960535357655313</v>
      </c>
      <c r="AV39" s="149">
        <v>0</v>
      </c>
      <c r="AW39" s="149">
        <v>0</v>
      </c>
      <c r="AX39" s="149">
        <v>6.8498472917054851</v>
      </c>
      <c r="AY39" s="149">
        <v>2.3040697044895381E-2</v>
      </c>
      <c r="AZ39" s="156">
        <v>297.29340559265131</v>
      </c>
      <c r="BA39" s="149">
        <v>5.6537937559399536</v>
      </c>
      <c r="BB39" s="149">
        <v>2.2064880742999806</v>
      </c>
      <c r="BC39" s="149">
        <v>0</v>
      </c>
      <c r="BD39" s="149">
        <v>0</v>
      </c>
      <c r="BE39" s="149">
        <v>7.8602818302399342</v>
      </c>
      <c r="BF39" s="149">
        <v>3.3011364970003995E-2</v>
      </c>
      <c r="BG39" s="149">
        <v>-14.61078194268552</v>
      </c>
      <c r="BH39" s="156">
        <v>238.10835563395315</v>
      </c>
      <c r="BI39" s="149">
        <v>6.7025910262272614E-2</v>
      </c>
      <c r="BJ39" s="149">
        <v>0.15488668403270939</v>
      </c>
      <c r="BK39" s="149">
        <v>0</v>
      </c>
      <c r="BL39" s="149">
        <v>-63.625368499856705</v>
      </c>
      <c r="BM39" s="149">
        <v>-63.403455905561728</v>
      </c>
      <c r="BN39" s="149">
        <v>5.6537937559399536</v>
      </c>
      <c r="BO39" s="149">
        <v>-0.86750369110622549</v>
      </c>
      <c r="BP39" s="149">
        <v>2.2064880742999806</v>
      </c>
      <c r="BQ39" s="149">
        <v>0</v>
      </c>
      <c r="BR39" s="149">
        <v>0</v>
      </c>
      <c r="BS39" s="149">
        <v>0</v>
      </c>
      <c r="BT39" s="149">
        <v>0</v>
      </c>
      <c r="BU39" s="149">
        <v>0</v>
      </c>
      <c r="BV39" s="149">
        <v>0</v>
      </c>
      <c r="BW39" s="149">
        <v>0</v>
      </c>
      <c r="BX39" s="149">
        <v>9.7147509031583493E-2</v>
      </c>
      <c r="BY39" s="149"/>
      <c r="BZ39" s="149">
        <v>0</v>
      </c>
      <c r="CA39" s="149">
        <v>-9.5289448791071312</v>
      </c>
      <c r="CB39" s="149">
        <v>6.9927781391337085</v>
      </c>
      <c r="CC39" s="149">
        <v>-9.4317973700755484</v>
      </c>
      <c r="CD39" s="156">
        <v>18.026439719209243</v>
      </c>
      <c r="CE39" s="149">
        <v>-72.404522612890801</v>
      </c>
      <c r="CF39" s="149">
        <v>0.10398687812928335</v>
      </c>
      <c r="CG39" s="149">
        <v>-1.308018923068606E-2</v>
      </c>
      <c r="CH39" s="149">
        <v>9.0906688898597293E-2</v>
      </c>
      <c r="CI39" s="149">
        <v>5.1993045320383475E-3</v>
      </c>
      <c r="CJ39" s="149">
        <v>-6.5400946153430241E-4</v>
      </c>
      <c r="CK39" s="149">
        <v>4.5452950705040449E-3</v>
      </c>
      <c r="CL39" s="149"/>
      <c r="CM39" s="149">
        <v>-0.11068959298702573</v>
      </c>
      <c r="CN39" s="149" t="s">
        <v>772</v>
      </c>
      <c r="CO39" s="149">
        <v>0</v>
      </c>
      <c r="CP39" s="149">
        <v>0</v>
      </c>
      <c r="CQ39" s="149">
        <v>-0.86750369110622549</v>
      </c>
      <c r="CR39" s="149">
        <v>0</v>
      </c>
      <c r="CS39" s="149">
        <v>0</v>
      </c>
      <c r="CT39" s="149">
        <v>-0.86750369110622549</v>
      </c>
      <c r="CU39" s="149">
        <v>0</v>
      </c>
      <c r="CV39" s="149">
        <v>9999</v>
      </c>
      <c r="CW39" s="157">
        <v>0</v>
      </c>
    </row>
    <row r="40" spans="1:101">
      <c r="A40" t="s">
        <v>905</v>
      </c>
      <c r="B40" t="s">
        <v>906</v>
      </c>
      <c r="C40" s="149">
        <v>7.9445543113898527</v>
      </c>
      <c r="D40" s="149">
        <v>3.9973247277667134</v>
      </c>
      <c r="E40" s="149">
        <v>-4.2876098903839567E-2</v>
      </c>
      <c r="F40" s="149">
        <v>0.05</v>
      </c>
      <c r="G40" s="149">
        <v>0</v>
      </c>
      <c r="H40" s="149">
        <v>-2.6940156634687558</v>
      </c>
      <c r="I40" s="149" t="s">
        <v>771</v>
      </c>
      <c r="J40" s="149"/>
      <c r="K40" s="149"/>
      <c r="L40" s="149">
        <v>4.2972366607268073</v>
      </c>
      <c r="M40" s="149">
        <v>1.1226453334995136E-3</v>
      </c>
      <c r="N40" s="149">
        <v>1.1145425829254044E-3</v>
      </c>
      <c r="O40" s="149">
        <v>-4.3304859983622247E-2</v>
      </c>
      <c r="P40" s="149">
        <v>0</v>
      </c>
      <c r="Q40" s="149">
        <v>0</v>
      </c>
      <c r="R40" s="149">
        <v>9.970667925108612E-3</v>
      </c>
      <c r="S40" s="149">
        <v>2.3040697044895381E-2</v>
      </c>
      <c r="T40" s="149">
        <v>0</v>
      </c>
      <c r="U40" s="149">
        <v>7.0272435091597349E-2</v>
      </c>
      <c r="V40" s="149" t="s">
        <v>688</v>
      </c>
      <c r="W40" s="149" t="s">
        <v>688</v>
      </c>
      <c r="X40" s="149" t="s">
        <v>688</v>
      </c>
      <c r="Y40" s="149" t="s">
        <v>688</v>
      </c>
      <c r="Z40" s="149">
        <v>0</v>
      </c>
      <c r="AA40" s="149">
        <v>0</v>
      </c>
      <c r="AB40" s="149">
        <v>0</v>
      </c>
      <c r="AC40" s="149">
        <v>0</v>
      </c>
      <c r="AD40" s="149">
        <v>0</v>
      </c>
      <c r="AE40" s="149">
        <v>0</v>
      </c>
      <c r="AF40" s="149">
        <v>0</v>
      </c>
      <c r="AG40" s="149">
        <v>-2.6940156634687558</v>
      </c>
      <c r="AH40" s="149">
        <v>9.970667925108612E-3</v>
      </c>
      <c r="AI40" s="149">
        <v>2.3040697044895381E-2</v>
      </c>
      <c r="AJ40" s="149">
        <v>0</v>
      </c>
      <c r="AK40" s="149">
        <v>-2.6237432283771582</v>
      </c>
      <c r="AL40" s="149">
        <v>-2.5907318634071546</v>
      </c>
      <c r="AM40" s="149">
        <v>2.219614678076383</v>
      </c>
      <c r="AN40" s="149">
        <v>0.39668502774975029</v>
      </c>
      <c r="AO40" s="149">
        <v>0</v>
      </c>
      <c r="AP40" s="149">
        <v>0</v>
      </c>
      <c r="AQ40" s="149">
        <v>2.6162997058261332</v>
      </c>
      <c r="AR40" s="149">
        <v>9.970667925108612E-3</v>
      </c>
      <c r="AS40" s="156">
        <v>262.3996431811396</v>
      </c>
      <c r="AT40" s="149">
        <v>2.219614678076383</v>
      </c>
      <c r="AU40" s="149">
        <v>0.4695569202469031</v>
      </c>
      <c r="AV40" s="149">
        <v>0</v>
      </c>
      <c r="AW40" s="149">
        <v>0</v>
      </c>
      <c r="AX40" s="149">
        <v>2.689171598323286</v>
      </c>
      <c r="AY40" s="149">
        <v>2.3040697044895381E-2</v>
      </c>
      <c r="AZ40" s="156">
        <v>116.71398626019722</v>
      </c>
      <c r="BA40" s="149">
        <v>2.219614678076383</v>
      </c>
      <c r="BB40" s="149">
        <v>0.86624194799665344</v>
      </c>
      <c r="BC40" s="149">
        <v>0</v>
      </c>
      <c r="BD40" s="149">
        <v>0</v>
      </c>
      <c r="BE40" s="149">
        <v>3.0858566260730362</v>
      </c>
      <c r="BF40" s="149">
        <v>3.3011364970003995E-2</v>
      </c>
      <c r="BG40" s="149">
        <v>-14.267439651805228</v>
      </c>
      <c r="BH40" s="156">
        <v>93.478613467726078</v>
      </c>
      <c r="BI40" s="149">
        <v>0.17072813433340747</v>
      </c>
      <c r="BJ40" s="149">
        <v>0.39452675084185923</v>
      </c>
      <c r="BK40" s="149">
        <v>0</v>
      </c>
      <c r="BL40" s="149">
        <v>-44.926457255958013</v>
      </c>
      <c r="BM40" s="149">
        <v>-44.361202370782749</v>
      </c>
      <c r="BN40" s="149">
        <v>2.219614678076383</v>
      </c>
      <c r="BO40" s="149">
        <v>-0.33603135629630632</v>
      </c>
      <c r="BP40" s="149">
        <v>0.86624194799665344</v>
      </c>
      <c r="BQ40" s="149">
        <v>0</v>
      </c>
      <c r="BR40" s="149">
        <v>0</v>
      </c>
      <c r="BS40" s="149">
        <v>0</v>
      </c>
      <c r="BT40" s="149">
        <v>0</v>
      </c>
      <c r="BU40" s="149">
        <v>0</v>
      </c>
      <c r="BV40" s="149">
        <v>0</v>
      </c>
      <c r="BW40" s="149">
        <v>0</v>
      </c>
      <c r="BX40" s="149">
        <v>0.10328380006160134</v>
      </c>
      <c r="BY40" s="149"/>
      <c r="BZ40" s="149">
        <v>0</v>
      </c>
      <c r="CA40" s="149">
        <v>-2.6940156634687558</v>
      </c>
      <c r="CB40" s="149">
        <v>2.7498252697767298</v>
      </c>
      <c r="CC40" s="149">
        <v>-2.5907318634071546</v>
      </c>
      <c r="CD40" s="156">
        <v>13.156551067937576</v>
      </c>
      <c r="CE40" s="149">
        <v>-53.4400189360056</v>
      </c>
      <c r="CF40" s="149">
        <v>4.0824057435877352E-2</v>
      </c>
      <c r="CG40" s="149">
        <v>-5.0666686180838002E-3</v>
      </c>
      <c r="CH40" s="149">
        <v>3.5757388817793549E-2</v>
      </c>
      <c r="CI40" s="149">
        <v>2.0411874138452327E-3</v>
      </c>
      <c r="CJ40" s="149">
        <v>-2.5333343090419011E-4</v>
      </c>
      <c r="CK40" s="149">
        <v>1.7878539829410426E-3</v>
      </c>
      <c r="CL40" s="149"/>
      <c r="CM40" s="149">
        <v>-4.2876098903839567E-2</v>
      </c>
      <c r="CN40" s="149" t="s">
        <v>772</v>
      </c>
      <c r="CO40" s="149">
        <v>0</v>
      </c>
      <c r="CP40" s="149">
        <v>0</v>
      </c>
      <c r="CQ40" s="149">
        <v>-0.33603135629630632</v>
      </c>
      <c r="CR40" s="149">
        <v>0</v>
      </c>
      <c r="CS40" s="149">
        <v>0</v>
      </c>
      <c r="CT40" s="149">
        <v>-0.33603135629630632</v>
      </c>
      <c r="CU40" s="149">
        <v>0</v>
      </c>
      <c r="CV40" s="149">
        <v>9999</v>
      </c>
      <c r="CW40" s="157">
        <v>0</v>
      </c>
    </row>
    <row r="41" spans="1:101">
      <c r="A41" t="s">
        <v>907</v>
      </c>
      <c r="B41" t="s">
        <v>908</v>
      </c>
      <c r="C41" s="149">
        <v>7.4879032412351636</v>
      </c>
      <c r="D41" s="149">
        <v>-1.1278165232401054</v>
      </c>
      <c r="E41" s="149">
        <v>1.1903204440899809E-2</v>
      </c>
      <c r="F41" s="149">
        <v>6.6278200161046463E-2</v>
      </c>
      <c r="G41" s="149">
        <v>0</v>
      </c>
      <c r="H41" s="149">
        <v>-3.4724951696829058</v>
      </c>
      <c r="I41" s="149" t="s">
        <v>771</v>
      </c>
      <c r="J41" s="149"/>
      <c r="K41" s="149"/>
      <c r="L41" s="149">
        <v>-1.2124345256655047</v>
      </c>
      <c r="M41" s="149">
        <v>-3.1674633488346478E-4</v>
      </c>
      <c r="N41" s="149">
        <v>-3.1446020188113569E-4</v>
      </c>
      <c r="O41" s="149">
        <v>1.2022236510501112E-2</v>
      </c>
      <c r="P41" s="149">
        <v>0</v>
      </c>
      <c r="Q41" s="149">
        <v>0</v>
      </c>
      <c r="R41" s="149">
        <v>1.3216758489593488E-2</v>
      </c>
      <c r="S41" s="149">
        <v>3.0541918611832152E-2</v>
      </c>
      <c r="T41" s="149">
        <v>0</v>
      </c>
      <c r="U41" s="149">
        <v>0.10027517051175491</v>
      </c>
      <c r="V41" s="149" t="s">
        <v>688</v>
      </c>
      <c r="W41" s="149" t="s">
        <v>688</v>
      </c>
      <c r="X41" s="149" t="s">
        <v>688</v>
      </c>
      <c r="Y41" s="149" t="s">
        <v>688</v>
      </c>
      <c r="Z41" s="149">
        <v>0</v>
      </c>
      <c r="AA41" s="149">
        <v>0</v>
      </c>
      <c r="AB41" s="149">
        <v>0</v>
      </c>
      <c r="AC41" s="149">
        <v>0</v>
      </c>
      <c r="AD41" s="149">
        <v>0</v>
      </c>
      <c r="AE41" s="149">
        <v>0</v>
      </c>
      <c r="AF41" s="149">
        <v>0</v>
      </c>
      <c r="AG41" s="149">
        <v>-3.4724951696829058</v>
      </c>
      <c r="AH41" s="149">
        <v>1.3216758489593488E-2</v>
      </c>
      <c r="AI41" s="149">
        <v>3.0541918611832152E-2</v>
      </c>
      <c r="AJ41" s="149">
        <v>0</v>
      </c>
      <c r="AK41" s="149">
        <v>-3.372219999171151</v>
      </c>
      <c r="AL41" s="149">
        <v>-3.3284613220697254</v>
      </c>
      <c r="AM41" s="149">
        <v>-0.62624837351140239</v>
      </c>
      <c r="AN41" s="149">
        <v>-0.11192183755060642</v>
      </c>
      <c r="AO41" s="149">
        <v>0</v>
      </c>
      <c r="AP41" s="149">
        <v>0</v>
      </c>
      <c r="AQ41" s="149">
        <v>-0.73817021106200875</v>
      </c>
      <c r="AR41" s="149">
        <v>1.3216758489593488E-2</v>
      </c>
      <c r="AS41" s="157">
        <v>0</v>
      </c>
      <c r="AT41" s="149">
        <v>-0.62624837351140239</v>
      </c>
      <c r="AU41" s="149">
        <v>-0.1324821197481407</v>
      </c>
      <c r="AV41" s="149">
        <v>0</v>
      </c>
      <c r="AW41" s="149">
        <v>0</v>
      </c>
      <c r="AX41" s="149">
        <v>-0.75873049325954312</v>
      </c>
      <c r="AY41" s="149">
        <v>3.0541918611832152E-2</v>
      </c>
      <c r="AZ41" s="157">
        <v>0</v>
      </c>
      <c r="BA41" s="149">
        <v>-0.62624837351140239</v>
      </c>
      <c r="BB41" s="149">
        <v>-0.24440395729874712</v>
      </c>
      <c r="BC41" s="149">
        <v>0</v>
      </c>
      <c r="BD41" s="149">
        <v>0</v>
      </c>
      <c r="BE41" s="149">
        <v>-0.87065233081014948</v>
      </c>
      <c r="BF41" s="149">
        <v>4.3758677101425641E-2</v>
      </c>
      <c r="BG41" s="149">
        <v>9999</v>
      </c>
      <c r="BH41" s="157">
        <v>0</v>
      </c>
      <c r="BI41" s="149">
        <v>9999</v>
      </c>
      <c r="BJ41" s="149">
        <v>9999</v>
      </c>
      <c r="BK41" s="149">
        <v>9999</v>
      </c>
      <c r="BL41" s="149">
        <v>9999</v>
      </c>
      <c r="BM41" s="149">
        <v>9999</v>
      </c>
      <c r="BN41" s="149">
        <v>-0.62624837351140239</v>
      </c>
      <c r="BO41" s="149">
        <v>9.3288569501587579E-2</v>
      </c>
      <c r="BP41" s="149">
        <v>-0.24440395729874712</v>
      </c>
      <c r="BQ41" s="149">
        <v>0</v>
      </c>
      <c r="BR41" s="149">
        <v>0</v>
      </c>
      <c r="BS41" s="149">
        <v>0</v>
      </c>
      <c r="BT41" s="149">
        <v>0</v>
      </c>
      <c r="BU41" s="149">
        <v>0</v>
      </c>
      <c r="BV41" s="149">
        <v>0</v>
      </c>
      <c r="BW41" s="149">
        <v>0</v>
      </c>
      <c r="BX41" s="149">
        <v>0.14403384761318055</v>
      </c>
      <c r="BY41" s="149"/>
      <c r="BZ41" s="149">
        <v>0</v>
      </c>
      <c r="CA41" s="149">
        <v>-3.4724951696829058</v>
      </c>
      <c r="CB41" s="149">
        <v>-0.77736376130856188</v>
      </c>
      <c r="CC41" s="149">
        <v>-3.3284613220697254</v>
      </c>
      <c r="CD41" s="156">
        <v>3.5141739534928775</v>
      </c>
      <c r="CE41" s="149">
        <v>9999</v>
      </c>
      <c r="CF41" s="149">
        <v>-1.151821522081071E-2</v>
      </c>
      <c r="CG41" s="149">
        <v>1.4066016717286288E-3</v>
      </c>
      <c r="CH41" s="149">
        <v>-1.011161354908208E-2</v>
      </c>
      <c r="CI41" s="149">
        <v>-5.7590639969111468E-4</v>
      </c>
      <c r="CJ41" s="149">
        <v>7.0330083586431504E-5</v>
      </c>
      <c r="CK41" s="149">
        <v>-5.0557631610468321E-4</v>
      </c>
      <c r="CL41" s="149"/>
      <c r="CM41" s="149">
        <v>1.1903204440899809E-2</v>
      </c>
      <c r="CN41" s="149" t="s">
        <v>772</v>
      </c>
      <c r="CO41" s="149">
        <v>0</v>
      </c>
      <c r="CP41" s="149">
        <v>0</v>
      </c>
      <c r="CQ41" s="149">
        <v>9.3288569501587579E-2</v>
      </c>
      <c r="CR41" s="149">
        <v>0</v>
      </c>
      <c r="CS41" s="149">
        <v>0</v>
      </c>
      <c r="CT41" s="149">
        <v>9.3288569501587579E-2</v>
      </c>
      <c r="CU41" s="149">
        <v>0</v>
      </c>
      <c r="CV41" s="149">
        <v>0</v>
      </c>
      <c r="CW41" s="156">
        <v>9999</v>
      </c>
    </row>
    <row r="42" spans="1:101">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9"/>
      <c r="BJ42" s="149"/>
      <c r="BK42" s="149"/>
      <c r="BL42" s="149"/>
      <c r="BM42" s="149"/>
      <c r="BN42" s="149"/>
      <c r="BO42" s="149"/>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149"/>
      <c r="CW42" s="149"/>
    </row>
    <row r="43" spans="1:101">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row>
    <row r="44" spans="1:101" ht="13.5" thickBot="1">
      <c r="A44" s="135" t="s">
        <v>68</v>
      </c>
      <c r="B44" s="134"/>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49"/>
      <c r="AM44" s="149"/>
      <c r="AN44" s="149"/>
      <c r="AO44" s="149"/>
      <c r="AP44" s="149"/>
      <c r="AQ44" s="149"/>
      <c r="AR44" s="149"/>
      <c r="AS44" s="149"/>
      <c r="AT44" s="149"/>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49"/>
      <c r="BQ44" s="149"/>
      <c r="BR44" s="149"/>
      <c r="BS44" s="149"/>
      <c r="BT44" s="149"/>
      <c r="BU44" s="149"/>
      <c r="BV44" s="149"/>
      <c r="BW44" s="149"/>
      <c r="BX44" s="149"/>
      <c r="BY44" s="149"/>
      <c r="BZ44" s="149"/>
      <c r="CA44" s="149"/>
      <c r="CB44" s="149"/>
      <c r="CC44" s="149"/>
      <c r="CD44" s="149"/>
      <c r="CE44" s="149"/>
      <c r="CF44" s="149"/>
      <c r="CG44" s="149"/>
      <c r="CH44" s="149"/>
      <c r="CI44" s="149"/>
      <c r="CJ44" s="149"/>
      <c r="CK44" s="149"/>
      <c r="CL44" s="149"/>
      <c r="CM44" s="149"/>
      <c r="CN44" s="149"/>
      <c r="CO44" s="149"/>
      <c r="CP44" s="149"/>
      <c r="CQ44" s="149"/>
      <c r="CR44" s="149"/>
      <c r="CS44" s="149"/>
      <c r="CT44" s="149"/>
      <c r="CU44" s="149"/>
      <c r="CV44" s="149"/>
      <c r="CW44" s="149"/>
    </row>
    <row r="45" spans="1:101" ht="26.25" thickBot="1">
      <c r="A45" s="145" t="s">
        <v>594</v>
      </c>
      <c r="B45" s="146"/>
      <c r="C45" s="150" t="s">
        <v>595</v>
      </c>
      <c r="D45" s="151"/>
      <c r="E45" s="151"/>
      <c r="F45" s="151"/>
      <c r="G45" s="151"/>
      <c r="H45" s="151"/>
      <c r="I45" s="151"/>
      <c r="J45" s="151"/>
      <c r="K45" s="152"/>
      <c r="L45" s="150" t="s">
        <v>66</v>
      </c>
      <c r="M45" s="151"/>
      <c r="N45" s="151"/>
      <c r="O45" s="151"/>
      <c r="P45" s="151"/>
      <c r="Q45" s="152"/>
      <c r="R45" s="150" t="s">
        <v>596</v>
      </c>
      <c r="S45" s="151"/>
      <c r="T45" s="151"/>
      <c r="U45" s="152"/>
      <c r="V45" s="150" t="s">
        <v>597</v>
      </c>
      <c r="W45" s="151"/>
      <c r="X45" s="151"/>
      <c r="Y45" s="152"/>
      <c r="Z45" s="150" t="s">
        <v>598</v>
      </c>
      <c r="AA45" s="151"/>
      <c r="AB45" s="151"/>
      <c r="AC45" s="152"/>
      <c r="AD45" s="150" t="s">
        <v>599</v>
      </c>
      <c r="AE45" s="151"/>
      <c r="AF45" s="151"/>
      <c r="AG45" s="152"/>
      <c r="AH45" s="150" t="s">
        <v>600</v>
      </c>
      <c r="AI45" s="151"/>
      <c r="AJ45" s="151"/>
      <c r="AK45" s="151"/>
      <c r="AL45" s="152"/>
      <c r="AM45" s="150" t="s">
        <v>601</v>
      </c>
      <c r="AN45" s="151"/>
      <c r="AO45" s="151"/>
      <c r="AP45" s="151"/>
      <c r="AQ45" s="151"/>
      <c r="AR45" s="151"/>
      <c r="AS45" s="152"/>
      <c r="AT45" s="150" t="s">
        <v>602</v>
      </c>
      <c r="AU45" s="151"/>
      <c r="AV45" s="151"/>
      <c r="AW45" s="151"/>
      <c r="AX45" s="151"/>
      <c r="AY45" s="151"/>
      <c r="AZ45" s="152"/>
      <c r="BA45" s="150" t="s">
        <v>603</v>
      </c>
      <c r="BB45" s="151"/>
      <c r="BC45" s="151"/>
      <c r="BD45" s="151"/>
      <c r="BE45" s="151"/>
      <c r="BF45" s="152"/>
      <c r="BG45" s="150" t="s">
        <v>604</v>
      </c>
      <c r="BH45" s="152"/>
      <c r="BI45" s="150" t="s">
        <v>605</v>
      </c>
      <c r="BJ45" s="151"/>
      <c r="BK45" s="151"/>
      <c r="BL45" s="151"/>
      <c r="BM45" s="152"/>
      <c r="BN45" s="150" t="s">
        <v>606</v>
      </c>
      <c r="BO45" s="151"/>
      <c r="BP45" s="151"/>
      <c r="BQ45" s="151"/>
      <c r="BR45" s="151"/>
      <c r="BS45" s="151"/>
      <c r="BT45" s="151"/>
      <c r="BU45" s="151"/>
      <c r="BV45" s="151"/>
      <c r="BW45" s="151"/>
      <c r="BX45" s="151"/>
      <c r="BY45" s="151"/>
      <c r="BZ45" s="151"/>
      <c r="CA45" s="151"/>
      <c r="CB45" s="151"/>
      <c r="CC45" s="152"/>
      <c r="CD45" s="150" t="s">
        <v>607</v>
      </c>
      <c r="CE45" s="152"/>
      <c r="CF45" s="150" t="s">
        <v>608</v>
      </c>
      <c r="CG45" s="151"/>
      <c r="CH45" s="151"/>
      <c r="CI45" s="151"/>
      <c r="CJ45" s="151"/>
      <c r="CK45" s="152"/>
      <c r="CL45" s="153"/>
      <c r="CM45" s="150" t="s">
        <v>40</v>
      </c>
      <c r="CN45" s="151"/>
      <c r="CO45" s="151"/>
      <c r="CP45" s="152"/>
      <c r="CQ45" s="150" t="s">
        <v>609</v>
      </c>
      <c r="CR45" s="151"/>
      <c r="CS45" s="151"/>
      <c r="CT45" s="151"/>
      <c r="CU45" s="152"/>
      <c r="CV45" s="150" t="s">
        <v>610</v>
      </c>
      <c r="CW45" s="152"/>
    </row>
    <row r="46" spans="1:101" ht="127.5">
      <c r="A46" s="148" t="s">
        <v>67</v>
      </c>
      <c r="B46" s="147" t="s">
        <v>139</v>
      </c>
      <c r="C46" s="154" t="s">
        <v>575</v>
      </c>
      <c r="D46" s="154" t="s">
        <v>611</v>
      </c>
      <c r="E46" s="154" t="s">
        <v>612</v>
      </c>
      <c r="F46" s="154" t="s">
        <v>613</v>
      </c>
      <c r="G46" s="154" t="s">
        <v>614</v>
      </c>
      <c r="H46" s="154" t="s">
        <v>615</v>
      </c>
      <c r="I46" s="154" t="s">
        <v>616</v>
      </c>
      <c r="J46" s="154" t="s">
        <v>617</v>
      </c>
      <c r="K46" s="154" t="s">
        <v>618</v>
      </c>
      <c r="L46" s="154" t="s">
        <v>619</v>
      </c>
      <c r="M46" s="154" t="s">
        <v>620</v>
      </c>
      <c r="N46" s="154" t="s">
        <v>621</v>
      </c>
      <c r="O46" s="154" t="s">
        <v>622</v>
      </c>
      <c r="P46" s="154" t="s">
        <v>623</v>
      </c>
      <c r="Q46" s="154" t="s">
        <v>624</v>
      </c>
      <c r="R46" s="154" t="s">
        <v>625</v>
      </c>
      <c r="S46" s="154" t="s">
        <v>626</v>
      </c>
      <c r="T46" s="154" t="s">
        <v>627</v>
      </c>
      <c r="U46" s="154" t="s">
        <v>6</v>
      </c>
      <c r="V46" s="154" t="s">
        <v>625</v>
      </c>
      <c r="W46" s="154" t="s">
        <v>626</v>
      </c>
      <c r="X46" s="154" t="s">
        <v>627</v>
      </c>
      <c r="Y46" s="154" t="s">
        <v>6</v>
      </c>
      <c r="Z46" s="154" t="s">
        <v>625</v>
      </c>
      <c r="AA46" s="154" t="s">
        <v>626</v>
      </c>
      <c r="AB46" s="154" t="s">
        <v>627</v>
      </c>
      <c r="AC46" s="154" t="s">
        <v>6</v>
      </c>
      <c r="AD46" s="154" t="s">
        <v>625</v>
      </c>
      <c r="AE46" s="154" t="s">
        <v>626</v>
      </c>
      <c r="AF46" s="154" t="s">
        <v>627</v>
      </c>
      <c r="AG46" s="154" t="s">
        <v>6</v>
      </c>
      <c r="AH46" s="154" t="s">
        <v>625</v>
      </c>
      <c r="AI46" s="154" t="s">
        <v>626</v>
      </c>
      <c r="AJ46" s="154" t="s">
        <v>627</v>
      </c>
      <c r="AK46" s="154" t="s">
        <v>6</v>
      </c>
      <c r="AL46" s="154" t="s">
        <v>628</v>
      </c>
      <c r="AM46" s="154" t="s">
        <v>629</v>
      </c>
      <c r="AN46" s="154" t="s">
        <v>630</v>
      </c>
      <c r="AO46" s="154" t="s">
        <v>631</v>
      </c>
      <c r="AP46" s="154" t="s">
        <v>632</v>
      </c>
      <c r="AQ46" s="154" t="s">
        <v>633</v>
      </c>
      <c r="AR46" s="154" t="s">
        <v>634</v>
      </c>
      <c r="AS46" s="154" t="s">
        <v>635</v>
      </c>
      <c r="AT46" s="154" t="s">
        <v>636</v>
      </c>
      <c r="AU46" s="154" t="s">
        <v>637</v>
      </c>
      <c r="AV46" s="154" t="s">
        <v>638</v>
      </c>
      <c r="AW46" s="154" t="s">
        <v>639</v>
      </c>
      <c r="AX46" s="154" t="s">
        <v>640</v>
      </c>
      <c r="AY46" s="154" t="s">
        <v>641</v>
      </c>
      <c r="AZ46" s="154" t="s">
        <v>642</v>
      </c>
      <c r="BA46" s="154" t="s">
        <v>643</v>
      </c>
      <c r="BB46" s="154" t="s">
        <v>644</v>
      </c>
      <c r="BC46" s="154" t="s">
        <v>645</v>
      </c>
      <c r="BD46" s="154" t="s">
        <v>646</v>
      </c>
      <c r="BE46" s="154" t="s">
        <v>647</v>
      </c>
      <c r="BF46" s="154" t="s">
        <v>648</v>
      </c>
      <c r="BG46" s="154" t="s">
        <v>649</v>
      </c>
      <c r="BH46" s="154" t="s">
        <v>650</v>
      </c>
      <c r="BI46" s="154" t="s">
        <v>651</v>
      </c>
      <c r="BJ46" s="154" t="s">
        <v>652</v>
      </c>
      <c r="BK46" s="154" t="s">
        <v>653</v>
      </c>
      <c r="BL46" s="154" t="s">
        <v>654</v>
      </c>
      <c r="BM46" s="154" t="s">
        <v>655</v>
      </c>
      <c r="BN46" s="154" t="s">
        <v>656</v>
      </c>
      <c r="BO46" s="154" t="s">
        <v>657</v>
      </c>
      <c r="BP46" s="154" t="s">
        <v>658</v>
      </c>
      <c r="BQ46" s="154" t="s">
        <v>659</v>
      </c>
      <c r="BR46" s="154" t="s">
        <v>660</v>
      </c>
      <c r="BS46" s="154" t="s">
        <v>661</v>
      </c>
      <c r="BT46" s="154" t="s">
        <v>662</v>
      </c>
      <c r="BU46" s="154" t="s">
        <v>663</v>
      </c>
      <c r="BV46" s="154" t="s">
        <v>664</v>
      </c>
      <c r="BW46" s="154" t="s">
        <v>665</v>
      </c>
      <c r="BX46" s="154" t="s">
        <v>666</v>
      </c>
      <c r="BY46" s="154" t="s">
        <v>667</v>
      </c>
      <c r="BZ46" s="154" t="s">
        <v>668</v>
      </c>
      <c r="CA46" s="154" t="s">
        <v>669</v>
      </c>
      <c r="CB46" s="154" t="s">
        <v>670</v>
      </c>
      <c r="CC46" s="154" t="s">
        <v>671</v>
      </c>
      <c r="CD46" s="154" t="s">
        <v>672</v>
      </c>
      <c r="CE46" s="154" t="s">
        <v>673</v>
      </c>
      <c r="CF46" s="154" t="s">
        <v>674</v>
      </c>
      <c r="CG46" s="154" t="s">
        <v>675</v>
      </c>
      <c r="CH46" s="154" t="s">
        <v>676</v>
      </c>
      <c r="CI46" s="154" t="s">
        <v>913</v>
      </c>
      <c r="CJ46" s="154" t="s">
        <v>914</v>
      </c>
      <c r="CK46" s="154" t="s">
        <v>915</v>
      </c>
      <c r="CL46" s="154"/>
      <c r="CM46" s="154" t="s">
        <v>677</v>
      </c>
      <c r="CN46" s="154" t="s">
        <v>678</v>
      </c>
      <c r="CO46" s="154" t="s">
        <v>679</v>
      </c>
      <c r="CP46" s="154" t="s">
        <v>680</v>
      </c>
      <c r="CQ46" s="154" t="s">
        <v>681</v>
      </c>
      <c r="CR46" s="154" t="s">
        <v>682</v>
      </c>
      <c r="CS46" s="154" t="s">
        <v>683</v>
      </c>
      <c r="CT46" s="154" t="s">
        <v>684</v>
      </c>
      <c r="CU46" s="154" t="s">
        <v>685</v>
      </c>
      <c r="CV46" s="154" t="s">
        <v>686</v>
      </c>
      <c r="CW46" s="154" t="s">
        <v>687</v>
      </c>
    </row>
    <row r="47" spans="1:101">
      <c r="A47" t="s">
        <v>903</v>
      </c>
      <c r="C47" s="149">
        <v>8.5397834253252132</v>
      </c>
      <c r="D47" s="149">
        <v>10.181969784907883</v>
      </c>
      <c r="E47" s="149">
        <v>-0.11068959298702573</v>
      </c>
      <c r="F47" s="149">
        <v>0.05</v>
      </c>
      <c r="G47" s="149">
        <v>0</v>
      </c>
      <c r="H47" s="149">
        <v>-9.5289448791071312</v>
      </c>
      <c r="I47" s="149"/>
      <c r="J47" s="149"/>
      <c r="K47" s="149"/>
      <c r="L47" s="149">
        <v>10.945904277975469</v>
      </c>
      <c r="M47" s="149">
        <v>2.8595977668409698E-3</v>
      </c>
      <c r="N47" s="149">
        <v>2.8389584725281663E-3</v>
      </c>
      <c r="O47" s="149">
        <v>-0.11179648915116283</v>
      </c>
      <c r="P47" s="149">
        <v>0</v>
      </c>
      <c r="Q47" s="149">
        <v>0</v>
      </c>
      <c r="R47" s="149">
        <v>9.970667925108612E-3</v>
      </c>
      <c r="S47" s="149">
        <v>2.3040697044895381E-2</v>
      </c>
      <c r="T47" s="149">
        <v>0</v>
      </c>
      <c r="U47" s="149">
        <v>6.4136144061579498E-2</v>
      </c>
      <c r="V47" s="149">
        <v>3.0000000000000001E-3</v>
      </c>
      <c r="W47" s="149">
        <v>7.0000000000000001E-3</v>
      </c>
      <c r="X47" s="149">
        <v>0</v>
      </c>
      <c r="Y47" s="149">
        <v>0</v>
      </c>
      <c r="Z47" s="149">
        <v>0</v>
      </c>
      <c r="AA47" s="149">
        <v>0</v>
      </c>
      <c r="AB47" s="149">
        <v>0</v>
      </c>
      <c r="AC47" s="149">
        <v>0</v>
      </c>
      <c r="AD47" s="149">
        <v>0</v>
      </c>
      <c r="AE47" s="149">
        <v>0</v>
      </c>
      <c r="AF47" s="149">
        <v>0</v>
      </c>
      <c r="AG47" s="149">
        <v>-9.5289448791071312</v>
      </c>
      <c r="AH47" s="149">
        <v>1.2970667925108613E-2</v>
      </c>
      <c r="AI47" s="149">
        <v>3.0040697044895381E-2</v>
      </c>
      <c r="AJ47" s="149">
        <v>0</v>
      </c>
      <c r="AK47" s="149">
        <v>-9.4648087350455512</v>
      </c>
      <c r="AL47" s="149">
        <v>-9.4217973700755469</v>
      </c>
      <c r="AM47" s="149">
        <v>5.6537937559399536</v>
      </c>
      <c r="AN47" s="149">
        <v>1.0104345385344493</v>
      </c>
      <c r="AO47" s="149">
        <v>0</v>
      </c>
      <c r="AP47" s="149">
        <v>0</v>
      </c>
      <c r="AQ47" s="149">
        <v>6.6642282944744027</v>
      </c>
      <c r="AR47" s="149">
        <v>1.2970667925108613E-2</v>
      </c>
      <c r="AS47" s="156">
        <v>513.79222203151096</v>
      </c>
      <c r="AT47" s="149">
        <v>5.6537937559399536</v>
      </c>
      <c r="AU47" s="149">
        <v>1.1960535357655313</v>
      </c>
      <c r="AV47" s="149">
        <v>0</v>
      </c>
      <c r="AW47" s="149">
        <v>0</v>
      </c>
      <c r="AX47" s="149">
        <v>6.8498472917054851</v>
      </c>
      <c r="AY47" s="149">
        <v>3.0040697044895381E-2</v>
      </c>
      <c r="AZ47" s="156">
        <v>228.01891984957902</v>
      </c>
      <c r="BA47" s="149">
        <v>5.6537937559399536</v>
      </c>
      <c r="BB47" s="149">
        <v>2.2064880742999806</v>
      </c>
      <c r="BC47" s="149">
        <v>0</v>
      </c>
      <c r="BD47" s="149">
        <v>0</v>
      </c>
      <c r="BE47" s="149">
        <v>7.8602818302399342</v>
      </c>
      <c r="BF47" s="149">
        <v>4.3011364970003997E-2</v>
      </c>
      <c r="BG47" s="149">
        <v>-14.543558853153584</v>
      </c>
      <c r="BH47" s="156">
        <v>182.74895102077491</v>
      </c>
      <c r="BI47" s="149">
        <v>8.7192837121851829E-2</v>
      </c>
      <c r="BJ47" s="149">
        <v>0.20194284670506088</v>
      </c>
      <c r="BK47" s="149">
        <v>0</v>
      </c>
      <c r="BL47" s="149">
        <v>-63.625368499856705</v>
      </c>
      <c r="BM47" s="149">
        <v>-63.336232816029785</v>
      </c>
      <c r="BN47" s="149">
        <v>5.6537937559399536</v>
      </c>
      <c r="BO47" s="149">
        <v>-0.86750369110622549</v>
      </c>
      <c r="BP47" s="149">
        <v>2.2064880742999806</v>
      </c>
      <c r="BQ47" s="149">
        <v>0</v>
      </c>
      <c r="BR47" s="149">
        <v>0</v>
      </c>
      <c r="BS47" s="149">
        <v>0</v>
      </c>
      <c r="BT47" s="149">
        <v>0</v>
      </c>
      <c r="BU47" s="149">
        <v>0</v>
      </c>
      <c r="BV47" s="149">
        <v>0</v>
      </c>
      <c r="BW47" s="149">
        <v>0</v>
      </c>
      <c r="BX47" s="149">
        <v>9.7147509031583493E-2</v>
      </c>
      <c r="BY47" s="149">
        <v>1.0000000000000002E-2</v>
      </c>
      <c r="BZ47" s="149">
        <v>0</v>
      </c>
      <c r="CA47" s="149">
        <v>-9.5289448791071312</v>
      </c>
      <c r="CB47" s="149">
        <v>6.9927781391337085</v>
      </c>
      <c r="CC47" s="149">
        <v>-9.4217973700755486</v>
      </c>
      <c r="CD47" s="156">
        <v>17.841486992360295</v>
      </c>
      <c r="CE47" s="149">
        <v>-72.33729952335888</v>
      </c>
      <c r="CF47" s="149">
        <v>0.10398687812928335</v>
      </c>
      <c r="CG47" s="149">
        <v>-1.308018923068606E-2</v>
      </c>
      <c r="CH47" s="149">
        <v>9.0906688898597293E-2</v>
      </c>
      <c r="CI47" s="149">
        <v>5.1993045320383475E-3</v>
      </c>
      <c r="CJ47" s="149">
        <v>-6.5400946153430241E-4</v>
      </c>
      <c r="CK47" s="149">
        <v>4.5452950705040449E-3</v>
      </c>
      <c r="CL47" s="149"/>
      <c r="CM47" s="149">
        <v>-0.11179648915116283</v>
      </c>
      <c r="CN47" s="149"/>
      <c r="CO47" s="149">
        <v>0</v>
      </c>
      <c r="CP47" s="149">
        <v>0</v>
      </c>
      <c r="CQ47" s="149">
        <v>-0.86750369110622549</v>
      </c>
      <c r="CR47" s="149">
        <v>0</v>
      </c>
      <c r="CS47" s="149">
        <v>0</v>
      </c>
      <c r="CT47" s="149">
        <v>-0.86750369110622549</v>
      </c>
      <c r="CU47" s="149">
        <v>0</v>
      </c>
      <c r="CV47" s="149">
        <v>9999</v>
      </c>
      <c r="CW47" s="157">
        <v>0</v>
      </c>
    </row>
    <row r="48" spans="1:101">
      <c r="A48" t="s">
        <v>905</v>
      </c>
      <c r="C48" s="149">
        <v>7.9445543113898527</v>
      </c>
      <c r="D48" s="149">
        <v>3.9973247277667134</v>
      </c>
      <c r="E48" s="149">
        <v>-4.2876098903839567E-2</v>
      </c>
      <c r="F48" s="149">
        <v>0.05</v>
      </c>
      <c r="G48" s="149">
        <v>0</v>
      </c>
      <c r="H48" s="149">
        <v>-2.6940156634687558</v>
      </c>
      <c r="I48" s="149"/>
      <c r="J48" s="149"/>
      <c r="K48" s="149"/>
      <c r="L48" s="149">
        <v>4.2972366607268073</v>
      </c>
      <c r="M48" s="149">
        <v>1.1226453334995136E-3</v>
      </c>
      <c r="N48" s="149">
        <v>1.1145425829254044E-3</v>
      </c>
      <c r="O48" s="149">
        <v>-4.3304859983622247E-2</v>
      </c>
      <c r="P48" s="149">
        <v>0</v>
      </c>
      <c r="Q48" s="149">
        <v>0</v>
      </c>
      <c r="R48" s="149">
        <v>9.970667925108612E-3</v>
      </c>
      <c r="S48" s="149">
        <v>2.3040697044895381E-2</v>
      </c>
      <c r="T48" s="149">
        <v>0</v>
      </c>
      <c r="U48" s="149">
        <v>7.0272435091597349E-2</v>
      </c>
      <c r="V48" s="149">
        <v>3.0000000000000001E-3</v>
      </c>
      <c r="W48" s="149">
        <v>7.0000000000000001E-3</v>
      </c>
      <c r="X48" s="149">
        <v>0</v>
      </c>
      <c r="Y48" s="149">
        <v>0</v>
      </c>
      <c r="Z48" s="149">
        <v>0</v>
      </c>
      <c r="AA48" s="149">
        <v>0</v>
      </c>
      <c r="AB48" s="149">
        <v>0</v>
      </c>
      <c r="AC48" s="149">
        <v>0</v>
      </c>
      <c r="AD48" s="149">
        <v>0</v>
      </c>
      <c r="AE48" s="149">
        <v>0</v>
      </c>
      <c r="AF48" s="149">
        <v>0</v>
      </c>
      <c r="AG48" s="149">
        <v>-2.6940156634687558</v>
      </c>
      <c r="AH48" s="149">
        <v>1.2970667925108613E-2</v>
      </c>
      <c r="AI48" s="149">
        <v>3.0040697044895381E-2</v>
      </c>
      <c r="AJ48" s="149">
        <v>0</v>
      </c>
      <c r="AK48" s="149">
        <v>-2.6237432283771582</v>
      </c>
      <c r="AL48" s="149">
        <v>-2.5807318634071543</v>
      </c>
      <c r="AM48" s="149">
        <v>2.219614678076383</v>
      </c>
      <c r="AN48" s="149">
        <v>0.39668502774975029</v>
      </c>
      <c r="AO48" s="149">
        <v>0</v>
      </c>
      <c r="AP48" s="149">
        <v>0</v>
      </c>
      <c r="AQ48" s="149">
        <v>2.6162997058261332</v>
      </c>
      <c r="AR48" s="149">
        <v>1.2970667925108613E-2</v>
      </c>
      <c r="AS48" s="156">
        <v>201.70894212483086</v>
      </c>
      <c r="AT48" s="149">
        <v>2.219614678076383</v>
      </c>
      <c r="AU48" s="149">
        <v>0.4695569202469031</v>
      </c>
      <c r="AV48" s="149">
        <v>0</v>
      </c>
      <c r="AW48" s="149">
        <v>0</v>
      </c>
      <c r="AX48" s="149">
        <v>2.689171598323286</v>
      </c>
      <c r="AY48" s="149">
        <v>3.0040697044895381E-2</v>
      </c>
      <c r="AZ48" s="156">
        <v>89.517616528816177</v>
      </c>
      <c r="BA48" s="149">
        <v>2.219614678076383</v>
      </c>
      <c r="BB48" s="149">
        <v>0.86624194799665344</v>
      </c>
      <c r="BC48" s="149">
        <v>0</v>
      </c>
      <c r="BD48" s="149">
        <v>0</v>
      </c>
      <c r="BE48" s="149">
        <v>3.0858566260730362</v>
      </c>
      <c r="BF48" s="149">
        <v>4.3011364970003997E-2</v>
      </c>
      <c r="BG48" s="149">
        <v>-14.096209263213639</v>
      </c>
      <c r="BH48" s="156">
        <v>71.745145224409967</v>
      </c>
      <c r="BI48" s="149">
        <v>0.22209725091088522</v>
      </c>
      <c r="BJ48" s="149">
        <v>0.51438802285597396</v>
      </c>
      <c r="BK48" s="149">
        <v>0</v>
      </c>
      <c r="BL48" s="149">
        <v>-44.926457255958013</v>
      </c>
      <c r="BM48" s="149">
        <v>-44.18997198219116</v>
      </c>
      <c r="BN48" s="149">
        <v>2.219614678076383</v>
      </c>
      <c r="BO48" s="149">
        <v>-0.33603135629630632</v>
      </c>
      <c r="BP48" s="149">
        <v>0.86624194799665344</v>
      </c>
      <c r="BQ48" s="149">
        <v>0</v>
      </c>
      <c r="BR48" s="149">
        <v>0</v>
      </c>
      <c r="BS48" s="149">
        <v>0</v>
      </c>
      <c r="BT48" s="149">
        <v>0</v>
      </c>
      <c r="BU48" s="149">
        <v>0</v>
      </c>
      <c r="BV48" s="149">
        <v>0</v>
      </c>
      <c r="BW48" s="149">
        <v>0</v>
      </c>
      <c r="BX48" s="149">
        <v>0.10328380006160134</v>
      </c>
      <c r="BY48" s="149">
        <v>1.0000000000000002E-2</v>
      </c>
      <c r="BZ48" s="149">
        <v>0</v>
      </c>
      <c r="CA48" s="149">
        <v>-2.6940156634687558</v>
      </c>
      <c r="CB48" s="149">
        <v>2.7498252697767298</v>
      </c>
      <c r="CC48" s="149">
        <v>-2.5807318634071548</v>
      </c>
      <c r="CD48" s="156">
        <v>12.863737641064043</v>
      </c>
      <c r="CE48" s="149">
        <v>-53.268788547414012</v>
      </c>
      <c r="CF48" s="149">
        <v>4.0824057435877352E-2</v>
      </c>
      <c r="CG48" s="149">
        <v>-5.0666686180838002E-3</v>
      </c>
      <c r="CH48" s="149">
        <v>3.5757388817793549E-2</v>
      </c>
      <c r="CI48" s="149">
        <v>2.0411874138452327E-3</v>
      </c>
      <c r="CJ48" s="149">
        <v>-2.5333343090419011E-4</v>
      </c>
      <c r="CK48" s="149">
        <v>1.7878539829410426E-3</v>
      </c>
      <c r="CL48" s="149"/>
      <c r="CM48" s="149">
        <v>-4.3304859983622247E-2</v>
      </c>
      <c r="CN48" s="149"/>
      <c r="CO48" s="149">
        <v>0</v>
      </c>
      <c r="CP48" s="149">
        <v>0</v>
      </c>
      <c r="CQ48" s="149">
        <v>-0.33603135629630632</v>
      </c>
      <c r="CR48" s="149">
        <v>0</v>
      </c>
      <c r="CS48" s="149">
        <v>0</v>
      </c>
      <c r="CT48" s="149">
        <v>-0.33603135629630632</v>
      </c>
      <c r="CU48" s="149">
        <v>0</v>
      </c>
      <c r="CV48" s="149">
        <v>9999</v>
      </c>
      <c r="CW48" s="157">
        <v>0</v>
      </c>
    </row>
    <row r="49" spans="1:101">
      <c r="A49" t="s">
        <v>907</v>
      </c>
      <c r="C49" s="149">
        <v>7.4879032412351645</v>
      </c>
      <c r="D49" s="149">
        <v>-1.1278165232401054</v>
      </c>
      <c r="E49" s="149">
        <v>1.1903204440899809E-2</v>
      </c>
      <c r="F49" s="149">
        <v>6.6278200161046463E-2</v>
      </c>
      <c r="G49" s="149">
        <v>0</v>
      </c>
      <c r="H49" s="149">
        <v>-3.4724951696829058</v>
      </c>
      <c r="I49" s="149"/>
      <c r="J49" s="149"/>
      <c r="K49" s="149"/>
      <c r="L49" s="149">
        <v>-1.2124345256655047</v>
      </c>
      <c r="M49" s="149">
        <v>-3.1674633488346478E-4</v>
      </c>
      <c r="N49" s="149">
        <v>-3.1446020188113569E-4</v>
      </c>
      <c r="O49" s="149">
        <v>1.2022236510501112E-2</v>
      </c>
      <c r="P49" s="149">
        <v>0</v>
      </c>
      <c r="Q49" s="149">
        <v>0</v>
      </c>
      <c r="R49" s="149">
        <v>1.3216758489593488E-2</v>
      </c>
      <c r="S49" s="149">
        <v>3.0541918611832152E-2</v>
      </c>
      <c r="T49" s="149">
        <v>0</v>
      </c>
      <c r="U49" s="149">
        <v>0.10027517051175491</v>
      </c>
      <c r="V49" s="149">
        <v>3.9766920096627875E-3</v>
      </c>
      <c r="W49" s="149">
        <v>9.278948022546505E-3</v>
      </c>
      <c r="X49" s="149">
        <v>0</v>
      </c>
      <c r="Y49" s="149">
        <v>0</v>
      </c>
      <c r="Z49" s="149">
        <v>0</v>
      </c>
      <c r="AA49" s="149">
        <v>0</v>
      </c>
      <c r="AB49" s="149">
        <v>0</v>
      </c>
      <c r="AC49" s="149">
        <v>0</v>
      </c>
      <c r="AD49" s="149">
        <v>0</v>
      </c>
      <c r="AE49" s="149">
        <v>0</v>
      </c>
      <c r="AF49" s="149">
        <v>0</v>
      </c>
      <c r="AG49" s="149">
        <v>-3.4724951696829058</v>
      </c>
      <c r="AH49" s="149">
        <v>1.7193450499256274E-2</v>
      </c>
      <c r="AI49" s="149">
        <v>3.9820866634378657E-2</v>
      </c>
      <c r="AJ49" s="149">
        <v>0</v>
      </c>
      <c r="AK49" s="149">
        <v>-3.372219999171151</v>
      </c>
      <c r="AL49" s="149">
        <v>-3.315205682037516</v>
      </c>
      <c r="AM49" s="149">
        <v>-0.62624837351140239</v>
      </c>
      <c r="AN49" s="149">
        <v>-0.11192183755060642</v>
      </c>
      <c r="AO49" s="149">
        <v>0</v>
      </c>
      <c r="AP49" s="149">
        <v>0</v>
      </c>
      <c r="AQ49" s="149">
        <v>-0.73817021106200875</v>
      </c>
      <c r="AR49" s="149">
        <v>1.7193450499256274E-2</v>
      </c>
      <c r="AS49" s="157">
        <v>0</v>
      </c>
      <c r="AT49" s="149">
        <v>-0.62624837351140239</v>
      </c>
      <c r="AU49" s="149">
        <v>-0.1324821197481407</v>
      </c>
      <c r="AV49" s="149">
        <v>0</v>
      </c>
      <c r="AW49" s="149">
        <v>0</v>
      </c>
      <c r="AX49" s="149">
        <v>-0.75873049325954312</v>
      </c>
      <c r="AY49" s="149">
        <v>3.9820866634378657E-2</v>
      </c>
      <c r="AZ49" s="157">
        <v>0</v>
      </c>
      <c r="BA49" s="149">
        <v>-0.62624837351140239</v>
      </c>
      <c r="BB49" s="149">
        <v>-0.24440395729874712</v>
      </c>
      <c r="BC49" s="149">
        <v>0</v>
      </c>
      <c r="BD49" s="149">
        <v>0</v>
      </c>
      <c r="BE49" s="149">
        <v>-0.87065233081014948</v>
      </c>
      <c r="BF49" s="149">
        <v>5.7014317133634931E-2</v>
      </c>
      <c r="BG49" s="149">
        <v>9999</v>
      </c>
      <c r="BH49" s="157">
        <v>0</v>
      </c>
      <c r="BI49" s="149">
        <v>9999</v>
      </c>
      <c r="BJ49" s="149">
        <v>9999</v>
      </c>
      <c r="BK49" s="149">
        <v>9999</v>
      </c>
      <c r="BL49" s="149">
        <v>9999</v>
      </c>
      <c r="BM49" s="149">
        <v>9999</v>
      </c>
      <c r="BN49" s="149">
        <v>-0.62624837351140239</v>
      </c>
      <c r="BO49" s="149">
        <v>9.3288569501587579E-2</v>
      </c>
      <c r="BP49" s="149">
        <v>-0.24440395729874712</v>
      </c>
      <c r="BQ49" s="149">
        <v>0</v>
      </c>
      <c r="BR49" s="149">
        <v>0</v>
      </c>
      <c r="BS49" s="149">
        <v>0</v>
      </c>
      <c r="BT49" s="149">
        <v>0</v>
      </c>
      <c r="BU49" s="149">
        <v>0</v>
      </c>
      <c r="BV49" s="149">
        <v>0</v>
      </c>
      <c r="BW49" s="149">
        <v>0</v>
      </c>
      <c r="BX49" s="149">
        <v>0.14403384761318055</v>
      </c>
      <c r="BY49" s="149">
        <v>1.3255640032209293E-2</v>
      </c>
      <c r="BZ49" s="149">
        <v>0</v>
      </c>
      <c r="CA49" s="149">
        <v>-3.4724951696829058</v>
      </c>
      <c r="CB49" s="149">
        <v>-0.77736376130856188</v>
      </c>
      <c r="CC49" s="149">
        <v>-3.315205682037516</v>
      </c>
      <c r="CD49" s="156">
        <v>3.4688575512396289</v>
      </c>
      <c r="CE49" s="149">
        <v>9999</v>
      </c>
      <c r="CF49" s="149">
        <v>-1.151821522081071E-2</v>
      </c>
      <c r="CG49" s="149">
        <v>1.4066016717286288E-3</v>
      </c>
      <c r="CH49" s="149">
        <v>-1.011161354908208E-2</v>
      </c>
      <c r="CI49" s="149">
        <v>-5.7590639969111468E-4</v>
      </c>
      <c r="CJ49" s="149">
        <v>7.0330083586431504E-5</v>
      </c>
      <c r="CK49" s="149">
        <v>-5.0557631610468321E-4</v>
      </c>
      <c r="CL49" s="149"/>
      <c r="CM49" s="149">
        <v>1.2022236510501112E-2</v>
      </c>
      <c r="CN49" s="149"/>
      <c r="CO49" s="149">
        <v>0</v>
      </c>
      <c r="CP49" s="149">
        <v>0</v>
      </c>
      <c r="CQ49" s="149">
        <v>9.3288569501587579E-2</v>
      </c>
      <c r="CR49" s="149">
        <v>0</v>
      </c>
      <c r="CS49" s="149">
        <v>0</v>
      </c>
      <c r="CT49" s="149">
        <v>9.3288569501587579E-2</v>
      </c>
      <c r="CU49" s="149">
        <v>0</v>
      </c>
      <c r="CV49" s="149">
        <v>0</v>
      </c>
      <c r="CW49" s="156">
        <v>9999</v>
      </c>
    </row>
    <row r="50" spans="1:101">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49"/>
      <c r="BQ50" s="149"/>
      <c r="BR50" s="149"/>
      <c r="BS50" s="149"/>
      <c r="BT50" s="149"/>
      <c r="BU50" s="149"/>
      <c r="BV50" s="149"/>
      <c r="BW50" s="149"/>
      <c r="BX50" s="149"/>
      <c r="BY50" s="149"/>
      <c r="BZ50" s="149"/>
      <c r="CA50" s="149"/>
      <c r="CB50" s="149"/>
      <c r="CC50" s="149"/>
      <c r="CD50" s="149"/>
      <c r="CE50" s="149"/>
      <c r="CF50" s="149"/>
      <c r="CG50" s="149"/>
      <c r="CH50" s="149"/>
      <c r="CI50" s="149"/>
      <c r="CJ50" s="149"/>
      <c r="CK50" s="149"/>
      <c r="CL50" s="149"/>
      <c r="CM50" s="149"/>
      <c r="CN50" s="149"/>
      <c r="CO50" s="149"/>
      <c r="CP50" s="149"/>
      <c r="CQ50" s="149"/>
      <c r="CR50" s="149"/>
      <c r="CS50" s="149"/>
      <c r="CT50" s="149"/>
      <c r="CU50" s="149"/>
      <c r="CV50" s="149"/>
      <c r="CW50" s="149"/>
    </row>
    <row r="51" spans="1:101">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49"/>
      <c r="CC51" s="149"/>
      <c r="CD51" s="149"/>
      <c r="CE51" s="149"/>
      <c r="CF51" s="149"/>
      <c r="CG51" s="149"/>
      <c r="CH51" s="149"/>
      <c r="CI51" s="149"/>
      <c r="CJ51" s="149"/>
      <c r="CK51" s="149"/>
      <c r="CL51" s="149"/>
      <c r="CM51" s="149"/>
      <c r="CN51" s="149"/>
      <c r="CO51" s="149"/>
      <c r="CP51" s="149"/>
      <c r="CQ51" s="149"/>
      <c r="CR51" s="149"/>
      <c r="CS51" s="149"/>
      <c r="CT51" s="149"/>
      <c r="CU51" s="149"/>
      <c r="CV51" s="149"/>
      <c r="CW51" s="149"/>
    </row>
    <row r="52" spans="1:101" ht="13.5" thickBot="1">
      <c r="A52" s="135" t="s">
        <v>69</v>
      </c>
      <c r="B52" s="134"/>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49"/>
      <c r="CC52" s="149"/>
      <c r="CD52" s="149"/>
      <c r="CE52" s="149"/>
      <c r="CF52" s="149"/>
      <c r="CG52" s="149"/>
      <c r="CH52" s="149"/>
      <c r="CI52" s="149"/>
      <c r="CJ52" s="149"/>
      <c r="CK52" s="149"/>
      <c r="CL52" s="149"/>
      <c r="CM52" s="149"/>
      <c r="CN52" s="149"/>
      <c r="CO52" s="149"/>
      <c r="CP52" s="149"/>
      <c r="CQ52" s="149"/>
      <c r="CR52" s="149"/>
      <c r="CS52" s="149"/>
      <c r="CT52" s="149"/>
      <c r="CU52" s="149"/>
      <c r="CV52" s="149"/>
      <c r="CW52" s="149"/>
    </row>
    <row r="53" spans="1:101" ht="13.5" thickBot="1">
      <c r="A53" s="160" t="s">
        <v>689</v>
      </c>
      <c r="B53" s="161"/>
      <c r="C53" s="162"/>
      <c r="D53" s="162"/>
      <c r="E53" s="162"/>
      <c r="F53" s="162"/>
      <c r="G53" s="162"/>
      <c r="H53" s="162"/>
      <c r="I53" s="162"/>
      <c r="J53" s="162"/>
      <c r="K53" s="162"/>
      <c r="L53" s="163"/>
      <c r="M53" s="158"/>
      <c r="N53" s="164" t="s">
        <v>916</v>
      </c>
      <c r="O53" s="162"/>
      <c r="P53" s="162"/>
      <c r="Q53" s="162"/>
      <c r="R53" s="162"/>
      <c r="S53" s="162"/>
      <c r="T53" s="162"/>
      <c r="U53" s="162"/>
      <c r="V53" s="162"/>
      <c r="W53" s="162"/>
      <c r="X53" s="162"/>
      <c r="Y53" s="163"/>
      <c r="Z53" s="158"/>
      <c r="AA53" s="164" t="s">
        <v>917</v>
      </c>
      <c r="AB53" s="162"/>
      <c r="AC53" s="162"/>
      <c r="AD53" s="162"/>
      <c r="AE53" s="162"/>
      <c r="AF53" s="162"/>
      <c r="AG53" s="162"/>
      <c r="AH53" s="162"/>
      <c r="AI53" s="162"/>
      <c r="AJ53" s="162"/>
      <c r="AK53" s="162"/>
      <c r="AL53" s="163"/>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49"/>
      <c r="BN53" s="149"/>
      <c r="BO53" s="149"/>
      <c r="BP53" s="149"/>
      <c r="BQ53" s="149"/>
      <c r="BR53" s="149"/>
      <c r="BS53" s="149"/>
      <c r="BT53" s="149"/>
      <c r="BU53" s="149"/>
      <c r="BV53" s="149"/>
      <c r="BW53" s="149"/>
      <c r="BX53" s="149"/>
      <c r="BY53" s="149"/>
      <c r="BZ53" s="149"/>
      <c r="CA53" s="149"/>
      <c r="CB53" s="149"/>
      <c r="CC53" s="149"/>
      <c r="CD53" s="149"/>
      <c r="CE53" s="149"/>
      <c r="CF53" s="149"/>
      <c r="CG53" s="149"/>
      <c r="CH53" s="149"/>
      <c r="CI53" s="149"/>
      <c r="CJ53" s="149"/>
      <c r="CK53" s="149"/>
      <c r="CL53" s="149"/>
      <c r="CM53" s="149"/>
      <c r="CN53" s="149"/>
      <c r="CO53" s="149"/>
      <c r="CP53" s="149"/>
      <c r="CQ53" s="149"/>
      <c r="CR53" s="149"/>
      <c r="CS53" s="149"/>
      <c r="CT53" s="149"/>
      <c r="CU53" s="149"/>
      <c r="CV53" s="149"/>
      <c r="CW53" s="149"/>
    </row>
    <row r="54" spans="1:101" ht="102">
      <c r="A54" s="148"/>
      <c r="B54" s="147" t="s">
        <v>690</v>
      </c>
      <c r="C54" s="154" t="s">
        <v>691</v>
      </c>
      <c r="D54" s="154" t="s">
        <v>692</v>
      </c>
      <c r="E54" s="154" t="s">
        <v>693</v>
      </c>
      <c r="F54" s="154" t="s">
        <v>694</v>
      </c>
      <c r="G54" s="154" t="s">
        <v>695</v>
      </c>
      <c r="H54" s="154" t="s">
        <v>696</v>
      </c>
      <c r="I54" s="154" t="s">
        <v>697</v>
      </c>
      <c r="J54" s="154" t="s">
        <v>698</v>
      </c>
      <c r="K54" s="154" t="s">
        <v>673</v>
      </c>
      <c r="L54" s="154" t="s">
        <v>672</v>
      </c>
      <c r="M54" s="154" t="s">
        <v>699</v>
      </c>
      <c r="N54" s="154" t="s">
        <v>700</v>
      </c>
      <c r="O54" s="154" t="s">
        <v>701</v>
      </c>
      <c r="P54" s="154" t="s">
        <v>702</v>
      </c>
      <c r="Q54" s="154" t="s">
        <v>703</v>
      </c>
      <c r="R54" s="154" t="s">
        <v>704</v>
      </c>
      <c r="S54" s="154" t="s">
        <v>705</v>
      </c>
      <c r="T54" s="154" t="s">
        <v>706</v>
      </c>
      <c r="U54" s="154" t="s">
        <v>707</v>
      </c>
      <c r="V54" s="154" t="s">
        <v>708</v>
      </c>
      <c r="W54" s="154" t="s">
        <v>709</v>
      </c>
      <c r="X54" s="154" t="s">
        <v>710</v>
      </c>
      <c r="Y54" s="154" t="s">
        <v>711</v>
      </c>
      <c r="Z54" s="154"/>
      <c r="AA54" s="154" t="s">
        <v>700</v>
      </c>
      <c r="AB54" s="154" t="s">
        <v>701</v>
      </c>
      <c r="AC54" s="154" t="s">
        <v>702</v>
      </c>
      <c r="AD54" s="154" t="s">
        <v>703</v>
      </c>
      <c r="AE54" s="154" t="s">
        <v>704</v>
      </c>
      <c r="AF54" s="154" t="s">
        <v>705</v>
      </c>
      <c r="AG54" s="154" t="s">
        <v>706</v>
      </c>
      <c r="AH54" s="154" t="s">
        <v>707</v>
      </c>
      <c r="AI54" s="154" t="s">
        <v>708</v>
      </c>
      <c r="AJ54" s="154" t="s">
        <v>709</v>
      </c>
      <c r="AK54" s="154" t="s">
        <v>710</v>
      </c>
      <c r="AL54" s="154" t="s">
        <v>711</v>
      </c>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49"/>
      <c r="BN54" s="149"/>
      <c r="BO54" s="149"/>
      <c r="BP54" s="149"/>
      <c r="BQ54" s="149"/>
      <c r="BR54" s="149"/>
      <c r="BS54" s="149"/>
      <c r="BT54" s="149"/>
      <c r="BU54" s="149"/>
      <c r="BV54" s="149"/>
      <c r="BW54" s="149"/>
      <c r="BX54" s="149"/>
      <c r="BY54" s="149"/>
      <c r="BZ54" s="149"/>
      <c r="CA54" s="149"/>
      <c r="CB54" s="149"/>
      <c r="CC54" s="149"/>
      <c r="CD54" s="149"/>
      <c r="CE54" s="149"/>
      <c r="CF54" s="149"/>
      <c r="CG54" s="149"/>
      <c r="CH54" s="149"/>
      <c r="CI54" s="149"/>
      <c r="CJ54" s="149"/>
      <c r="CK54" s="149"/>
      <c r="CL54" s="149"/>
      <c r="CM54" s="149"/>
      <c r="CN54" s="149"/>
      <c r="CO54" s="149"/>
      <c r="CP54" s="149"/>
      <c r="CQ54" s="149"/>
      <c r="CR54" s="149"/>
      <c r="CS54" s="149"/>
      <c r="CT54" s="149"/>
      <c r="CU54" s="149"/>
      <c r="CV54" s="149"/>
      <c r="CW54" s="149"/>
    </row>
    <row r="55" spans="1:101">
      <c r="B55" s="23" t="s">
        <v>712</v>
      </c>
      <c r="C55" s="166">
        <v>14.030706413036771</v>
      </c>
      <c r="D55" s="166">
        <v>0.16627820016104647</v>
      </c>
      <c r="E55" s="166">
        <v>0</v>
      </c>
      <c r="F55" s="166">
        <v>0.16627820016104647</v>
      </c>
      <c r="G55" s="166">
        <v>-15.350990555552428</v>
      </c>
      <c r="H55" s="166">
        <v>8.9652396476018765</v>
      </c>
      <c r="I55" s="166">
        <v>103.81494634207122</v>
      </c>
      <c r="J55" s="166">
        <v>-879.81112597131516</v>
      </c>
      <c r="K55" s="166">
        <v>-936.89582102938425</v>
      </c>
      <c r="L55" s="156">
        <v>17.788968284213059</v>
      </c>
      <c r="M55" s="149">
        <v>0.11655246416730877</v>
      </c>
      <c r="N55" s="165">
        <v>1.0038798391202137</v>
      </c>
      <c r="O55" s="165">
        <v>0.79844047971987886</v>
      </c>
      <c r="P55" s="165">
        <v>0.80667927942965756</v>
      </c>
      <c r="Q55" s="165">
        <v>0.65790622422190514</v>
      </c>
      <c r="R55" s="165">
        <v>0.59908302378523037</v>
      </c>
      <c r="S55" s="165">
        <v>0.61557084393045225</v>
      </c>
      <c r="T55" s="165">
        <v>0.50802470860295701</v>
      </c>
      <c r="U55" s="165">
        <v>0.5794791206786295</v>
      </c>
      <c r="V55" s="165">
        <v>0.63809404196902619</v>
      </c>
      <c r="W55" s="165">
        <v>0.93124289480209099</v>
      </c>
      <c r="X55" s="165">
        <v>0.94005853908737103</v>
      </c>
      <c r="Y55" s="165">
        <v>1.0319982245371997</v>
      </c>
      <c r="Z55" s="165"/>
      <c r="AA55" s="165">
        <v>0.52370664370428688</v>
      </c>
      <c r="AB55" s="165">
        <v>0.40249339248081351</v>
      </c>
      <c r="AC55" s="165">
        <v>0.3751380358888024</v>
      </c>
      <c r="AD55" s="165">
        <v>0.3679919729026544</v>
      </c>
      <c r="AE55" s="165">
        <v>0.35753429635266998</v>
      </c>
      <c r="AF55" s="165">
        <v>0.33435743991637257</v>
      </c>
      <c r="AG55" s="165">
        <v>0.38143676942996296</v>
      </c>
      <c r="AH55" s="165">
        <v>0.34506572817657877</v>
      </c>
      <c r="AI55" s="165">
        <v>0.39995272295454093</v>
      </c>
      <c r="AJ55" s="165">
        <v>0.3976076686778473</v>
      </c>
      <c r="AK55" s="165">
        <v>0.50076068839105015</v>
      </c>
      <c r="AL55" s="165">
        <v>0.53420383427657692</v>
      </c>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49"/>
      <c r="BN55" s="149"/>
      <c r="BO55" s="149"/>
      <c r="BP55" s="149"/>
      <c r="BQ55" s="149"/>
      <c r="BR55" s="149"/>
      <c r="BS55" s="149"/>
      <c r="BT55" s="149"/>
      <c r="BU55" s="149"/>
      <c r="BV55" s="149"/>
      <c r="BW55" s="149"/>
      <c r="BX55" s="149"/>
      <c r="BY55" s="149"/>
      <c r="BZ55" s="149"/>
      <c r="CA55" s="149"/>
      <c r="CB55" s="149"/>
      <c r="CC55" s="149"/>
      <c r="CD55" s="149"/>
      <c r="CE55" s="149"/>
      <c r="CF55" s="149"/>
      <c r="CG55" s="149"/>
      <c r="CH55" s="149"/>
      <c r="CI55" s="149"/>
      <c r="CJ55" s="149"/>
      <c r="CK55" s="149"/>
      <c r="CL55" s="149"/>
      <c r="CM55" s="149"/>
      <c r="CN55" s="149"/>
      <c r="CO55" s="149"/>
      <c r="CP55" s="149"/>
      <c r="CQ55" s="149"/>
      <c r="CR55" s="149"/>
      <c r="CS55" s="149"/>
      <c r="CT55" s="149"/>
      <c r="CU55" s="149"/>
      <c r="CV55" s="149"/>
      <c r="CW55" s="149"/>
    </row>
    <row r="56" spans="1:101">
      <c r="B56" s="23" t="s">
        <v>713</v>
      </c>
      <c r="C56" s="166">
        <v>14.030706413036771</v>
      </c>
      <c r="D56" s="166">
        <v>0.16627820016104647</v>
      </c>
      <c r="E56" s="166">
        <v>3.3255640032209294E-2</v>
      </c>
      <c r="F56" s="166">
        <v>0.19953384019325576</v>
      </c>
      <c r="G56" s="166">
        <v>-15.317734915520219</v>
      </c>
      <c r="H56" s="166">
        <v>8.9652396476018765</v>
      </c>
      <c r="I56" s="166">
        <v>124.57793561048547</v>
      </c>
      <c r="J56" s="166">
        <v>-879.70623923480662</v>
      </c>
      <c r="K56" s="166">
        <v>-936.7909342928757</v>
      </c>
      <c r="L56" s="156">
        <v>17.558914274738303</v>
      </c>
      <c r="M56" s="149">
        <v>0.11655246416730877</v>
      </c>
      <c r="N56" s="165">
        <v>0.2207138101176172</v>
      </c>
      <c r="O56" s="165">
        <v>0.17554575115838095</v>
      </c>
      <c r="P56" s="165">
        <v>0.17735714013530751</v>
      </c>
      <c r="Q56" s="165">
        <v>0.14464777933519529</v>
      </c>
      <c r="R56" s="165">
        <v>0.13171486427330009</v>
      </c>
      <c r="S56" s="165">
        <v>0.13533988936392766</v>
      </c>
      <c r="T56" s="165">
        <v>0.11169471155822627</v>
      </c>
      <c r="U56" s="165">
        <v>0.12740473473466282</v>
      </c>
      <c r="V56" s="165">
        <v>0.14029185737982483</v>
      </c>
      <c r="W56" s="165">
        <v>0.20474379447331031</v>
      </c>
      <c r="X56" s="165">
        <v>0.20668200895179906</v>
      </c>
      <c r="Y56" s="165">
        <v>0.22689594042633784</v>
      </c>
      <c r="Z56" s="165"/>
      <c r="AA56" s="165">
        <v>0.11514255412996784</v>
      </c>
      <c r="AB56" s="165">
        <v>8.8492513485937063E-2</v>
      </c>
      <c r="AC56" s="165">
        <v>8.2478143294141798E-2</v>
      </c>
      <c r="AD56" s="165">
        <v>8.0907004271770888E-2</v>
      </c>
      <c r="AE56" s="165">
        <v>7.8607771289517195E-2</v>
      </c>
      <c r="AF56" s="165">
        <v>7.3512089424756066E-2</v>
      </c>
      <c r="AG56" s="165">
        <v>8.3862987799041458E-2</v>
      </c>
      <c r="AH56" s="165">
        <v>7.5866422094509792E-2</v>
      </c>
      <c r="AI56" s="165">
        <v>8.7933919887837927E-2</v>
      </c>
      <c r="AJ56" s="165">
        <v>8.7418334412194487E-2</v>
      </c>
      <c r="AK56" s="165">
        <v>0.11009763836752806</v>
      </c>
      <c r="AL56" s="165">
        <v>0.11745047469620942</v>
      </c>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49"/>
      <c r="BM56" s="149"/>
      <c r="BN56" s="149"/>
      <c r="BO56" s="149"/>
      <c r="BP56" s="149"/>
      <c r="BQ56" s="149"/>
      <c r="BR56" s="149"/>
      <c r="BS56" s="149"/>
      <c r="BT56" s="149"/>
      <c r="BU56" s="149"/>
      <c r="BV56" s="149"/>
      <c r="BW56" s="149"/>
      <c r="BX56" s="149"/>
      <c r="BY56" s="149"/>
      <c r="BZ56" s="149"/>
      <c r="CA56" s="149"/>
      <c r="CB56" s="149"/>
      <c r="CC56" s="149"/>
      <c r="CD56" s="149"/>
      <c r="CE56" s="149"/>
      <c r="CF56" s="149"/>
      <c r="CG56" s="149"/>
      <c r="CH56" s="149"/>
      <c r="CI56" s="149"/>
      <c r="CJ56" s="149"/>
      <c r="CK56" s="149"/>
      <c r="CL56" s="149"/>
      <c r="CM56" s="149"/>
      <c r="CN56" s="149"/>
      <c r="CO56" s="149"/>
      <c r="CP56" s="149"/>
      <c r="CQ56" s="149"/>
      <c r="CR56" s="149"/>
      <c r="CS56" s="149"/>
      <c r="CT56" s="149"/>
      <c r="CU56" s="149"/>
      <c r="CV56" s="149"/>
      <c r="CW56" s="149"/>
    </row>
    <row r="57" spans="1:101">
      <c r="B57" s="23" t="s">
        <v>714</v>
      </c>
      <c r="C57" s="168"/>
      <c r="D57" s="168"/>
      <c r="E57" s="168"/>
      <c r="F57" s="168"/>
      <c r="G57" s="168"/>
      <c r="H57" s="168"/>
      <c r="I57" s="168"/>
      <c r="J57" s="168"/>
      <c r="K57" s="168"/>
      <c r="L57" s="157"/>
      <c r="M57" s="167"/>
      <c r="N57" s="167"/>
      <c r="O57" s="167"/>
      <c r="P57" s="167"/>
      <c r="Q57" s="167"/>
      <c r="R57" s="167"/>
      <c r="S57" s="167"/>
      <c r="T57" s="167"/>
      <c r="U57" s="167"/>
      <c r="V57" s="167"/>
      <c r="W57" s="167"/>
      <c r="X57" s="167"/>
      <c r="Y57" s="167"/>
      <c r="Z57" s="167"/>
      <c r="AA57" s="167"/>
      <c r="AB57" s="167"/>
      <c r="AC57" s="167"/>
      <c r="AD57" s="167"/>
      <c r="AE57" s="167"/>
      <c r="AF57" s="167"/>
      <c r="AG57" s="167"/>
      <c r="AH57" s="167"/>
      <c r="AI57" s="167"/>
      <c r="AJ57" s="167"/>
      <c r="AK57" s="167"/>
      <c r="AL57" s="167"/>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49"/>
      <c r="BN57" s="149"/>
      <c r="BO57" s="149"/>
      <c r="BP57" s="149"/>
      <c r="BQ57" s="149"/>
      <c r="BR57" s="149"/>
      <c r="BS57" s="149"/>
      <c r="BT57" s="149"/>
      <c r="BU57" s="149"/>
      <c r="BV57" s="149"/>
      <c r="BW57" s="149"/>
      <c r="BX57" s="149"/>
      <c r="BY57" s="149"/>
      <c r="BZ57" s="149"/>
      <c r="CA57" s="149"/>
      <c r="CB57" s="149"/>
      <c r="CC57" s="149"/>
      <c r="CD57" s="149"/>
      <c r="CE57" s="149"/>
      <c r="CF57" s="149"/>
      <c r="CG57" s="149"/>
      <c r="CH57" s="149"/>
      <c r="CI57" s="149"/>
      <c r="CJ57" s="149"/>
      <c r="CK57" s="149"/>
      <c r="CL57" s="149"/>
      <c r="CM57" s="149"/>
      <c r="CN57" s="149"/>
      <c r="CO57" s="149"/>
      <c r="CP57" s="149"/>
      <c r="CQ57" s="149"/>
      <c r="CR57" s="149"/>
      <c r="CS57" s="149"/>
      <c r="CT57" s="149"/>
      <c r="CU57" s="149"/>
      <c r="CV57" s="149"/>
      <c r="CW57" s="149"/>
    </row>
    <row r="58" spans="1:101">
      <c r="B58" t="s">
        <v>715</v>
      </c>
      <c r="C58" s="149">
        <v>15.243140938702275</v>
      </c>
      <c r="D58" s="149">
        <v>0.1</v>
      </c>
      <c r="E58" s="149">
        <v>2.0000000000000004E-2</v>
      </c>
      <c r="F58" s="149">
        <v>0.12000000000000001</v>
      </c>
      <c r="G58" s="149">
        <v>-12.002529233482704</v>
      </c>
      <c r="H58" s="149">
        <v>9.7426034089104387</v>
      </c>
      <c r="I58" s="149">
        <v>68.962164965030752</v>
      </c>
      <c r="J58" s="149">
        <v>-14.417445274214604</v>
      </c>
      <c r="K58" s="149">
        <v>-66.961642054808451</v>
      </c>
      <c r="L58" s="156">
        <v>16.438195696536301</v>
      </c>
      <c r="M58" s="149">
        <v>0.12666407771639085</v>
      </c>
      <c r="N58" s="165">
        <v>1.0906280427201382</v>
      </c>
      <c r="O58" s="165">
        <v>0.86743606524519712</v>
      </c>
      <c r="P58" s="165">
        <v>0.87638680382135381</v>
      </c>
      <c r="Q58" s="165">
        <v>0.71475783221761569</v>
      </c>
      <c r="R58" s="165">
        <v>0.65085154636670262</v>
      </c>
      <c r="S58" s="165">
        <v>0.66876412744758607</v>
      </c>
      <c r="T58" s="165">
        <v>0.55192461488487232</v>
      </c>
      <c r="U58" s="165">
        <v>0.62955361244906871</v>
      </c>
      <c r="V58" s="165">
        <v>0.69323362114130926</v>
      </c>
      <c r="W58" s="165">
        <v>1.0117143268313191</v>
      </c>
      <c r="X58" s="165">
        <v>1.0212917568159656</v>
      </c>
      <c r="Y58" s="165">
        <v>1.1211762203572686</v>
      </c>
      <c r="Z58" s="165"/>
      <c r="AA58" s="165">
        <v>0.56896167202969616</v>
      </c>
      <c r="AB58" s="165">
        <v>0.43727402796916981</v>
      </c>
      <c r="AC58" s="165">
        <v>0.40755481471750904</v>
      </c>
      <c r="AD58" s="165">
        <v>0.39979123945279638</v>
      </c>
      <c r="AE58" s="165">
        <v>0.38842988437557385</v>
      </c>
      <c r="AF58" s="165">
        <v>0.36325024774328796</v>
      </c>
      <c r="AG58" s="165">
        <v>0.41439784031271581</v>
      </c>
      <c r="AH58" s="165">
        <v>0.37488387062423628</v>
      </c>
      <c r="AI58" s="165">
        <v>0.43451381173147169</v>
      </c>
      <c r="AJ58" s="165">
        <v>0.43196611443126065</v>
      </c>
      <c r="AK58" s="165">
        <v>0.54403288936428162</v>
      </c>
      <c r="AL58" s="165">
        <v>0.58036595565187776</v>
      </c>
      <c r="AM58" s="149"/>
      <c r="AN58" s="149"/>
      <c r="AO58" s="149"/>
      <c r="AP58" s="149"/>
      <c r="AQ58" s="149"/>
      <c r="AR58" s="149"/>
      <c r="AS58" s="149"/>
      <c r="AT58" s="149"/>
      <c r="AU58" s="149"/>
      <c r="AV58" s="149"/>
      <c r="AW58" s="149"/>
      <c r="AX58" s="149"/>
      <c r="AY58" s="149"/>
      <c r="AZ58" s="149"/>
      <c r="BA58" s="149"/>
      <c r="BB58" s="149"/>
      <c r="BC58" s="149"/>
      <c r="BD58" s="149"/>
      <c r="BE58" s="149"/>
      <c r="BF58" s="149"/>
      <c r="BG58" s="149"/>
      <c r="BH58" s="149"/>
      <c r="BI58" s="149"/>
      <c r="BJ58" s="149"/>
      <c r="BK58" s="149"/>
      <c r="BL58" s="149"/>
      <c r="BM58" s="149"/>
      <c r="BN58" s="149"/>
      <c r="BO58" s="149"/>
      <c r="BP58" s="149"/>
      <c r="BQ58" s="149"/>
      <c r="BR58" s="149"/>
      <c r="BS58" s="149"/>
      <c r="BT58" s="149"/>
      <c r="BU58" s="149"/>
      <c r="BV58" s="149"/>
      <c r="BW58" s="149"/>
      <c r="BX58" s="149"/>
      <c r="BY58" s="149"/>
      <c r="BZ58" s="149"/>
      <c r="CA58" s="149"/>
      <c r="CB58" s="149"/>
      <c r="CC58" s="149"/>
      <c r="CD58" s="149"/>
      <c r="CE58" s="149"/>
      <c r="CF58" s="149"/>
      <c r="CG58" s="149"/>
      <c r="CH58" s="149"/>
      <c r="CI58" s="149"/>
      <c r="CJ58" s="149"/>
      <c r="CK58" s="149"/>
      <c r="CL58" s="149"/>
      <c r="CM58" s="149"/>
      <c r="CN58" s="149"/>
      <c r="CO58" s="149"/>
      <c r="CP58" s="149"/>
      <c r="CQ58" s="149"/>
      <c r="CR58" s="149"/>
      <c r="CS58" s="149"/>
      <c r="CT58" s="149"/>
      <c r="CU58" s="149"/>
      <c r="CV58" s="149"/>
      <c r="CW58" s="149"/>
    </row>
    <row r="59" spans="1:101">
      <c r="B59" t="s">
        <v>716</v>
      </c>
      <c r="C59" s="167">
        <v>0</v>
      </c>
      <c r="D59" s="167">
        <v>0</v>
      </c>
      <c r="E59" s="167">
        <v>0</v>
      </c>
      <c r="F59" s="167">
        <v>0</v>
      </c>
      <c r="G59" s="167">
        <v>0</v>
      </c>
      <c r="H59" s="167">
        <v>0</v>
      </c>
      <c r="I59" s="167">
        <v>0</v>
      </c>
      <c r="J59" s="167">
        <v>0</v>
      </c>
      <c r="K59" s="167">
        <v>0</v>
      </c>
      <c r="L59" s="169">
        <v>0</v>
      </c>
      <c r="M59" s="167">
        <v>0</v>
      </c>
      <c r="N59" s="167">
        <v>0</v>
      </c>
      <c r="O59" s="167">
        <v>0</v>
      </c>
      <c r="P59" s="167">
        <v>0</v>
      </c>
      <c r="Q59" s="167">
        <v>0</v>
      </c>
      <c r="R59" s="167">
        <v>0</v>
      </c>
      <c r="S59" s="167">
        <v>0</v>
      </c>
      <c r="T59" s="167">
        <v>0</v>
      </c>
      <c r="U59" s="167">
        <v>0</v>
      </c>
      <c r="V59" s="167">
        <v>0</v>
      </c>
      <c r="W59" s="167">
        <v>0</v>
      </c>
      <c r="X59" s="167">
        <v>0</v>
      </c>
      <c r="Y59" s="167">
        <v>0</v>
      </c>
      <c r="Z59" s="167"/>
      <c r="AA59" s="167">
        <v>0</v>
      </c>
      <c r="AB59" s="167">
        <v>0</v>
      </c>
      <c r="AC59" s="167">
        <v>0</v>
      </c>
      <c r="AD59" s="167">
        <v>0</v>
      </c>
      <c r="AE59" s="167">
        <v>0</v>
      </c>
      <c r="AF59" s="167">
        <v>0</v>
      </c>
      <c r="AG59" s="167">
        <v>0</v>
      </c>
      <c r="AH59" s="167">
        <v>0</v>
      </c>
      <c r="AI59" s="167">
        <v>0</v>
      </c>
      <c r="AJ59" s="167">
        <v>0</v>
      </c>
      <c r="AK59" s="167">
        <v>0</v>
      </c>
      <c r="AL59" s="167">
        <v>0</v>
      </c>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c r="CH59" s="149"/>
      <c r="CI59" s="149"/>
      <c r="CJ59" s="149"/>
      <c r="CK59" s="149"/>
      <c r="CL59" s="149"/>
      <c r="CM59" s="149"/>
      <c r="CN59" s="149"/>
      <c r="CO59" s="149"/>
      <c r="CP59" s="149"/>
      <c r="CQ59" s="149"/>
      <c r="CR59" s="149"/>
      <c r="CS59" s="149"/>
      <c r="CT59" s="149"/>
      <c r="CU59" s="149"/>
      <c r="CV59" s="149"/>
      <c r="CW59" s="149"/>
    </row>
    <row r="60" spans="1:101">
      <c r="B60" t="s">
        <v>717</v>
      </c>
      <c r="C60" s="167">
        <v>0</v>
      </c>
      <c r="D60" s="167">
        <v>0</v>
      </c>
      <c r="E60" s="167">
        <v>0</v>
      </c>
      <c r="F60" s="167">
        <v>0</v>
      </c>
      <c r="G60" s="167">
        <v>0</v>
      </c>
      <c r="H60" s="167">
        <v>0</v>
      </c>
      <c r="I60" s="167">
        <v>0</v>
      </c>
      <c r="J60" s="167">
        <v>0</v>
      </c>
      <c r="K60" s="167">
        <v>0</v>
      </c>
      <c r="L60" s="169">
        <v>0</v>
      </c>
      <c r="M60" s="167">
        <v>0</v>
      </c>
      <c r="N60" s="167">
        <v>0</v>
      </c>
      <c r="O60" s="167">
        <v>0</v>
      </c>
      <c r="P60" s="167">
        <v>0</v>
      </c>
      <c r="Q60" s="167">
        <v>0</v>
      </c>
      <c r="R60" s="167">
        <v>0</v>
      </c>
      <c r="S60" s="167">
        <v>0</v>
      </c>
      <c r="T60" s="167">
        <v>0</v>
      </c>
      <c r="U60" s="167">
        <v>0</v>
      </c>
      <c r="V60" s="167">
        <v>0</v>
      </c>
      <c r="W60" s="167">
        <v>0</v>
      </c>
      <c r="X60" s="167">
        <v>0</v>
      </c>
      <c r="Y60" s="167">
        <v>0</v>
      </c>
      <c r="Z60" s="167"/>
      <c r="AA60" s="167">
        <v>0</v>
      </c>
      <c r="AB60" s="167">
        <v>0</v>
      </c>
      <c r="AC60" s="167">
        <v>0</v>
      </c>
      <c r="AD60" s="167">
        <v>0</v>
      </c>
      <c r="AE60" s="167">
        <v>0</v>
      </c>
      <c r="AF60" s="167">
        <v>0</v>
      </c>
      <c r="AG60" s="167">
        <v>0</v>
      </c>
      <c r="AH60" s="167">
        <v>0</v>
      </c>
      <c r="AI60" s="167">
        <v>0</v>
      </c>
      <c r="AJ60" s="167">
        <v>0</v>
      </c>
      <c r="AK60" s="167">
        <v>0</v>
      </c>
      <c r="AL60" s="167">
        <v>0</v>
      </c>
      <c r="AM60" s="149"/>
      <c r="AN60" s="149"/>
      <c r="AO60" s="149"/>
      <c r="AP60" s="149"/>
      <c r="AQ60" s="149"/>
      <c r="AR60" s="149"/>
      <c r="AS60" s="149"/>
      <c r="AT60" s="149"/>
      <c r="AU60" s="149"/>
      <c r="AV60" s="149"/>
      <c r="AW60" s="149"/>
      <c r="AX60" s="149"/>
      <c r="AY60" s="149"/>
      <c r="AZ60" s="149"/>
      <c r="BA60" s="149"/>
      <c r="BB60" s="149"/>
      <c r="BC60" s="149"/>
      <c r="BD60" s="149"/>
      <c r="BE60" s="149"/>
      <c r="BF60" s="149"/>
      <c r="BG60" s="149"/>
      <c r="BH60" s="149"/>
      <c r="BI60" s="149"/>
      <c r="BJ60" s="149"/>
      <c r="BK60" s="149"/>
      <c r="BL60" s="149"/>
      <c r="BM60" s="149"/>
      <c r="BN60" s="149"/>
      <c r="BO60" s="149"/>
      <c r="BP60" s="149"/>
      <c r="BQ60" s="149"/>
      <c r="BR60" s="149"/>
      <c r="BS60" s="149"/>
      <c r="BT60" s="149"/>
      <c r="BU60" s="149"/>
      <c r="BV60" s="149"/>
      <c r="BW60" s="149"/>
      <c r="BX60" s="149"/>
      <c r="BY60" s="149"/>
      <c r="BZ60" s="149"/>
      <c r="CA60" s="149"/>
      <c r="CB60" s="149"/>
      <c r="CC60" s="149"/>
      <c r="CD60" s="149"/>
      <c r="CE60" s="149"/>
      <c r="CF60" s="149"/>
      <c r="CG60" s="149"/>
      <c r="CH60" s="149"/>
      <c r="CI60" s="149"/>
      <c r="CJ60" s="149"/>
      <c r="CK60" s="149"/>
      <c r="CL60" s="149"/>
      <c r="CM60" s="149"/>
      <c r="CN60" s="149"/>
      <c r="CO60" s="149"/>
      <c r="CP60" s="149"/>
      <c r="CQ60" s="149"/>
      <c r="CR60" s="149"/>
      <c r="CS60" s="149"/>
      <c r="CT60" s="149"/>
      <c r="CU60" s="149"/>
      <c r="CV60" s="149"/>
      <c r="CW60" s="149"/>
    </row>
    <row r="61" spans="1:101">
      <c r="B61" t="s">
        <v>718</v>
      </c>
      <c r="C61" s="167">
        <v>0</v>
      </c>
      <c r="D61" s="167">
        <v>0</v>
      </c>
      <c r="E61" s="167">
        <v>0</v>
      </c>
      <c r="F61" s="167">
        <v>0</v>
      </c>
      <c r="G61" s="167">
        <v>0</v>
      </c>
      <c r="H61" s="167">
        <v>0</v>
      </c>
      <c r="I61" s="167">
        <v>0</v>
      </c>
      <c r="J61" s="167">
        <v>0</v>
      </c>
      <c r="K61" s="167">
        <v>0</v>
      </c>
      <c r="L61" s="169">
        <v>0</v>
      </c>
      <c r="M61" s="167">
        <v>0</v>
      </c>
      <c r="N61" s="167">
        <v>0</v>
      </c>
      <c r="O61" s="167">
        <v>0</v>
      </c>
      <c r="P61" s="167">
        <v>0</v>
      </c>
      <c r="Q61" s="167">
        <v>0</v>
      </c>
      <c r="R61" s="167">
        <v>0</v>
      </c>
      <c r="S61" s="167">
        <v>0</v>
      </c>
      <c r="T61" s="167">
        <v>0</v>
      </c>
      <c r="U61" s="167">
        <v>0</v>
      </c>
      <c r="V61" s="167">
        <v>0</v>
      </c>
      <c r="W61" s="167">
        <v>0</v>
      </c>
      <c r="X61" s="167">
        <v>0</v>
      </c>
      <c r="Y61" s="167">
        <v>0</v>
      </c>
      <c r="Z61" s="167"/>
      <c r="AA61" s="167">
        <v>0</v>
      </c>
      <c r="AB61" s="167">
        <v>0</v>
      </c>
      <c r="AC61" s="167">
        <v>0</v>
      </c>
      <c r="AD61" s="167">
        <v>0</v>
      </c>
      <c r="AE61" s="167">
        <v>0</v>
      </c>
      <c r="AF61" s="167">
        <v>0</v>
      </c>
      <c r="AG61" s="167">
        <v>0</v>
      </c>
      <c r="AH61" s="167">
        <v>0</v>
      </c>
      <c r="AI61" s="167">
        <v>0</v>
      </c>
      <c r="AJ61" s="167">
        <v>0</v>
      </c>
      <c r="AK61" s="167">
        <v>0</v>
      </c>
      <c r="AL61" s="167">
        <v>0</v>
      </c>
      <c r="AM61" s="149"/>
      <c r="AN61" s="149"/>
      <c r="AO61" s="149"/>
      <c r="AP61" s="149"/>
      <c r="AQ61" s="149"/>
      <c r="AR61" s="149"/>
      <c r="AS61" s="149"/>
      <c r="AT61" s="149"/>
      <c r="AU61" s="149"/>
      <c r="AV61" s="149"/>
      <c r="AW61" s="149"/>
      <c r="AX61" s="149"/>
      <c r="AY61" s="149"/>
      <c r="AZ61" s="149"/>
      <c r="BA61" s="149"/>
      <c r="BB61" s="149"/>
      <c r="BC61" s="149"/>
      <c r="BD61" s="149"/>
      <c r="BE61" s="149"/>
      <c r="BF61" s="149"/>
      <c r="BG61" s="149"/>
      <c r="BH61" s="149"/>
      <c r="BI61" s="149"/>
      <c r="BJ61" s="149"/>
      <c r="BK61" s="149"/>
      <c r="BL61" s="149"/>
      <c r="BM61" s="149"/>
      <c r="BN61" s="149"/>
      <c r="BO61" s="149"/>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49"/>
      <c r="CL61" s="149"/>
      <c r="CM61" s="149"/>
      <c r="CN61" s="149"/>
      <c r="CO61" s="149"/>
      <c r="CP61" s="149"/>
      <c r="CQ61" s="149"/>
      <c r="CR61" s="149"/>
      <c r="CS61" s="149"/>
      <c r="CT61" s="149"/>
      <c r="CU61" s="149"/>
      <c r="CV61" s="149"/>
      <c r="CW61" s="149"/>
    </row>
    <row r="62" spans="1:101">
      <c r="B62" t="s">
        <v>719</v>
      </c>
      <c r="C62" s="167">
        <v>0</v>
      </c>
      <c r="D62" s="167">
        <v>0</v>
      </c>
      <c r="E62" s="167">
        <v>0</v>
      </c>
      <c r="F62" s="167">
        <v>0</v>
      </c>
      <c r="G62" s="167">
        <v>0</v>
      </c>
      <c r="H62" s="167">
        <v>0</v>
      </c>
      <c r="I62" s="167">
        <v>0</v>
      </c>
      <c r="J62" s="167">
        <v>0</v>
      </c>
      <c r="K62" s="167">
        <v>0</v>
      </c>
      <c r="L62" s="169">
        <v>0</v>
      </c>
      <c r="M62" s="167">
        <v>0</v>
      </c>
      <c r="N62" s="167">
        <v>0</v>
      </c>
      <c r="O62" s="167">
        <v>0</v>
      </c>
      <c r="P62" s="167">
        <v>0</v>
      </c>
      <c r="Q62" s="167">
        <v>0</v>
      </c>
      <c r="R62" s="167">
        <v>0</v>
      </c>
      <c r="S62" s="167">
        <v>0</v>
      </c>
      <c r="T62" s="167">
        <v>0</v>
      </c>
      <c r="U62" s="167">
        <v>0</v>
      </c>
      <c r="V62" s="167">
        <v>0</v>
      </c>
      <c r="W62" s="167">
        <v>0</v>
      </c>
      <c r="X62" s="167">
        <v>0</v>
      </c>
      <c r="Y62" s="167">
        <v>0</v>
      </c>
      <c r="Z62" s="167"/>
      <c r="AA62" s="167">
        <v>0</v>
      </c>
      <c r="AB62" s="167">
        <v>0</v>
      </c>
      <c r="AC62" s="167">
        <v>0</v>
      </c>
      <c r="AD62" s="167">
        <v>0</v>
      </c>
      <c r="AE62" s="167">
        <v>0</v>
      </c>
      <c r="AF62" s="167">
        <v>0</v>
      </c>
      <c r="AG62" s="167">
        <v>0</v>
      </c>
      <c r="AH62" s="167">
        <v>0</v>
      </c>
      <c r="AI62" s="167">
        <v>0</v>
      </c>
      <c r="AJ62" s="167">
        <v>0</v>
      </c>
      <c r="AK62" s="167">
        <v>0</v>
      </c>
      <c r="AL62" s="167">
        <v>0</v>
      </c>
      <c r="AM62" s="149"/>
      <c r="AN62" s="149"/>
      <c r="AO62" s="149"/>
      <c r="AP62" s="149"/>
      <c r="AQ62" s="149"/>
      <c r="AR62" s="149"/>
      <c r="AS62" s="149"/>
      <c r="AT62" s="149"/>
      <c r="AU62" s="149"/>
      <c r="AV62" s="149"/>
      <c r="AW62" s="149"/>
      <c r="AX62" s="149"/>
      <c r="AY62" s="149"/>
      <c r="AZ62" s="149"/>
      <c r="BA62" s="149"/>
      <c r="BB62" s="149"/>
      <c r="BC62" s="149"/>
      <c r="BD62" s="149"/>
      <c r="BE62" s="149"/>
      <c r="BF62" s="149"/>
      <c r="BG62" s="149"/>
      <c r="BH62" s="149"/>
      <c r="BI62" s="149"/>
      <c r="BJ62" s="149"/>
      <c r="BK62" s="149"/>
      <c r="BL62" s="149"/>
      <c r="BM62" s="149"/>
      <c r="BN62" s="149"/>
      <c r="BO62" s="149"/>
      <c r="BP62" s="149"/>
      <c r="BQ62" s="149"/>
      <c r="BR62" s="149"/>
      <c r="BS62" s="149"/>
      <c r="BT62" s="149"/>
      <c r="BU62" s="149"/>
      <c r="BV62" s="149"/>
      <c r="BW62" s="149"/>
      <c r="BX62" s="149"/>
      <c r="BY62" s="149"/>
      <c r="BZ62" s="149"/>
      <c r="CA62" s="149"/>
      <c r="CB62" s="149"/>
      <c r="CC62" s="149"/>
      <c r="CD62" s="149"/>
      <c r="CE62" s="149"/>
      <c r="CF62" s="149"/>
      <c r="CG62" s="149"/>
      <c r="CH62" s="149"/>
      <c r="CI62" s="149"/>
      <c r="CJ62" s="149"/>
      <c r="CK62" s="149"/>
      <c r="CL62" s="149"/>
      <c r="CM62" s="149"/>
      <c r="CN62" s="149"/>
      <c r="CO62" s="149"/>
      <c r="CP62" s="149"/>
      <c r="CQ62" s="149"/>
      <c r="CR62" s="149"/>
      <c r="CS62" s="149"/>
      <c r="CT62" s="149"/>
      <c r="CU62" s="149"/>
      <c r="CV62" s="149"/>
      <c r="CW62" s="149"/>
    </row>
    <row r="63" spans="1:101">
      <c r="B63" t="s">
        <v>720</v>
      </c>
      <c r="C63" s="167">
        <v>0</v>
      </c>
      <c r="D63" s="167">
        <v>0</v>
      </c>
      <c r="E63" s="167">
        <v>0</v>
      </c>
      <c r="F63" s="167">
        <v>0</v>
      </c>
      <c r="G63" s="167">
        <v>0</v>
      </c>
      <c r="H63" s="167">
        <v>0</v>
      </c>
      <c r="I63" s="167">
        <v>0</v>
      </c>
      <c r="J63" s="167">
        <v>0</v>
      </c>
      <c r="K63" s="167">
        <v>0</v>
      </c>
      <c r="L63" s="169">
        <v>0</v>
      </c>
      <c r="M63" s="167">
        <v>0</v>
      </c>
      <c r="N63" s="167">
        <v>0</v>
      </c>
      <c r="O63" s="167">
        <v>0</v>
      </c>
      <c r="P63" s="167">
        <v>0</v>
      </c>
      <c r="Q63" s="167">
        <v>0</v>
      </c>
      <c r="R63" s="167">
        <v>0</v>
      </c>
      <c r="S63" s="167">
        <v>0</v>
      </c>
      <c r="T63" s="167">
        <v>0</v>
      </c>
      <c r="U63" s="167">
        <v>0</v>
      </c>
      <c r="V63" s="167">
        <v>0</v>
      </c>
      <c r="W63" s="167">
        <v>0</v>
      </c>
      <c r="X63" s="167">
        <v>0</v>
      </c>
      <c r="Y63" s="167">
        <v>0</v>
      </c>
      <c r="Z63" s="167"/>
      <c r="AA63" s="167">
        <v>0</v>
      </c>
      <c r="AB63" s="167">
        <v>0</v>
      </c>
      <c r="AC63" s="167">
        <v>0</v>
      </c>
      <c r="AD63" s="167">
        <v>0</v>
      </c>
      <c r="AE63" s="167">
        <v>0</v>
      </c>
      <c r="AF63" s="167">
        <v>0</v>
      </c>
      <c r="AG63" s="167">
        <v>0</v>
      </c>
      <c r="AH63" s="167">
        <v>0</v>
      </c>
      <c r="AI63" s="167">
        <v>0</v>
      </c>
      <c r="AJ63" s="167">
        <v>0</v>
      </c>
      <c r="AK63" s="167">
        <v>0</v>
      </c>
      <c r="AL63" s="167">
        <v>0</v>
      </c>
      <c r="AM63" s="149"/>
      <c r="AN63" s="149"/>
      <c r="AO63" s="149"/>
      <c r="AP63" s="149"/>
      <c r="AQ63" s="149"/>
      <c r="AR63" s="149"/>
      <c r="AS63" s="149"/>
      <c r="AT63" s="149"/>
      <c r="AU63" s="149"/>
      <c r="AV63" s="149"/>
      <c r="AW63" s="149"/>
      <c r="AX63" s="149"/>
      <c r="AY63" s="149"/>
      <c r="AZ63" s="149"/>
      <c r="BA63" s="149"/>
      <c r="BB63" s="149"/>
      <c r="BC63" s="149"/>
      <c r="BD63" s="149"/>
      <c r="BE63" s="149"/>
      <c r="BF63" s="149"/>
      <c r="BG63" s="149"/>
      <c r="BH63" s="149"/>
      <c r="BI63" s="149"/>
      <c r="BJ63" s="149"/>
      <c r="BK63" s="149"/>
      <c r="BL63" s="149"/>
      <c r="BM63" s="149"/>
      <c r="BN63" s="149"/>
      <c r="BO63" s="149"/>
      <c r="BP63" s="149"/>
      <c r="BQ63" s="149"/>
      <c r="BR63" s="149"/>
      <c r="BS63" s="149"/>
      <c r="BT63" s="149"/>
      <c r="BU63" s="149"/>
      <c r="BV63" s="149"/>
      <c r="BW63" s="149"/>
      <c r="BX63" s="149"/>
      <c r="BY63" s="149"/>
      <c r="BZ63" s="149"/>
      <c r="CA63" s="149"/>
      <c r="CB63" s="149"/>
      <c r="CC63" s="149"/>
      <c r="CD63" s="149"/>
      <c r="CE63" s="149"/>
      <c r="CF63" s="149"/>
      <c r="CG63" s="149"/>
      <c r="CH63" s="149"/>
      <c r="CI63" s="149"/>
      <c r="CJ63" s="149"/>
      <c r="CK63" s="149"/>
      <c r="CL63" s="149"/>
      <c r="CM63" s="149"/>
      <c r="CN63" s="149"/>
      <c r="CO63" s="149"/>
      <c r="CP63" s="149"/>
      <c r="CQ63" s="149"/>
      <c r="CR63" s="149"/>
      <c r="CS63" s="149"/>
      <c r="CT63" s="149"/>
      <c r="CU63" s="149"/>
      <c r="CV63" s="149"/>
      <c r="CW63" s="149"/>
    </row>
    <row r="64" spans="1:101">
      <c r="B64" t="s">
        <v>721</v>
      </c>
      <c r="C64" s="167">
        <v>0</v>
      </c>
      <c r="D64" s="167">
        <v>0</v>
      </c>
      <c r="E64" s="167">
        <v>0</v>
      </c>
      <c r="F64" s="167">
        <v>0</v>
      </c>
      <c r="G64" s="167">
        <v>0</v>
      </c>
      <c r="H64" s="167">
        <v>0</v>
      </c>
      <c r="I64" s="167">
        <v>0</v>
      </c>
      <c r="J64" s="167">
        <v>0</v>
      </c>
      <c r="K64" s="167">
        <v>0</v>
      </c>
      <c r="L64" s="169">
        <v>0</v>
      </c>
      <c r="M64" s="167">
        <v>0</v>
      </c>
      <c r="N64" s="167">
        <v>0</v>
      </c>
      <c r="O64" s="167">
        <v>0</v>
      </c>
      <c r="P64" s="167">
        <v>0</v>
      </c>
      <c r="Q64" s="167">
        <v>0</v>
      </c>
      <c r="R64" s="167">
        <v>0</v>
      </c>
      <c r="S64" s="167">
        <v>0</v>
      </c>
      <c r="T64" s="167">
        <v>0</v>
      </c>
      <c r="U64" s="167">
        <v>0</v>
      </c>
      <c r="V64" s="167">
        <v>0</v>
      </c>
      <c r="W64" s="167">
        <v>0</v>
      </c>
      <c r="X64" s="167">
        <v>0</v>
      </c>
      <c r="Y64" s="167">
        <v>0</v>
      </c>
      <c r="Z64" s="167"/>
      <c r="AA64" s="167">
        <v>0</v>
      </c>
      <c r="AB64" s="167">
        <v>0</v>
      </c>
      <c r="AC64" s="167">
        <v>0</v>
      </c>
      <c r="AD64" s="167">
        <v>0</v>
      </c>
      <c r="AE64" s="167">
        <v>0</v>
      </c>
      <c r="AF64" s="167">
        <v>0</v>
      </c>
      <c r="AG64" s="167">
        <v>0</v>
      </c>
      <c r="AH64" s="167">
        <v>0</v>
      </c>
      <c r="AI64" s="167">
        <v>0</v>
      </c>
      <c r="AJ64" s="167">
        <v>0</v>
      </c>
      <c r="AK64" s="167">
        <v>0</v>
      </c>
      <c r="AL64" s="167">
        <v>0</v>
      </c>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G64" s="149"/>
      <c r="CH64" s="149"/>
      <c r="CI64" s="149"/>
      <c r="CJ64" s="149"/>
      <c r="CK64" s="149"/>
      <c r="CL64" s="149"/>
      <c r="CM64" s="149"/>
      <c r="CN64" s="149"/>
      <c r="CO64" s="149"/>
      <c r="CP64" s="149"/>
      <c r="CQ64" s="149"/>
      <c r="CR64" s="149"/>
      <c r="CS64" s="149"/>
      <c r="CT64" s="149"/>
      <c r="CU64" s="149"/>
      <c r="CV64" s="149"/>
      <c r="CW64" s="149"/>
    </row>
    <row r="65" spans="2:101">
      <c r="B65" t="s">
        <v>722</v>
      </c>
      <c r="C65" s="167">
        <v>0</v>
      </c>
      <c r="D65" s="167">
        <v>0</v>
      </c>
      <c r="E65" s="167">
        <v>0</v>
      </c>
      <c r="F65" s="167">
        <v>0</v>
      </c>
      <c r="G65" s="167">
        <v>0</v>
      </c>
      <c r="H65" s="167">
        <v>0</v>
      </c>
      <c r="I65" s="167">
        <v>0</v>
      </c>
      <c r="J65" s="167">
        <v>0</v>
      </c>
      <c r="K65" s="167">
        <v>0</v>
      </c>
      <c r="L65" s="169">
        <v>0</v>
      </c>
      <c r="M65" s="167">
        <v>0</v>
      </c>
      <c r="N65" s="167">
        <v>0</v>
      </c>
      <c r="O65" s="167">
        <v>0</v>
      </c>
      <c r="P65" s="167">
        <v>0</v>
      </c>
      <c r="Q65" s="167">
        <v>0</v>
      </c>
      <c r="R65" s="167">
        <v>0</v>
      </c>
      <c r="S65" s="167">
        <v>0</v>
      </c>
      <c r="T65" s="167">
        <v>0</v>
      </c>
      <c r="U65" s="167">
        <v>0</v>
      </c>
      <c r="V65" s="167">
        <v>0</v>
      </c>
      <c r="W65" s="167">
        <v>0</v>
      </c>
      <c r="X65" s="167">
        <v>0</v>
      </c>
      <c r="Y65" s="167">
        <v>0</v>
      </c>
      <c r="Z65" s="167"/>
      <c r="AA65" s="167">
        <v>0</v>
      </c>
      <c r="AB65" s="167">
        <v>0</v>
      </c>
      <c r="AC65" s="167">
        <v>0</v>
      </c>
      <c r="AD65" s="167">
        <v>0</v>
      </c>
      <c r="AE65" s="167">
        <v>0</v>
      </c>
      <c r="AF65" s="167">
        <v>0</v>
      </c>
      <c r="AG65" s="167">
        <v>0</v>
      </c>
      <c r="AH65" s="167">
        <v>0</v>
      </c>
      <c r="AI65" s="167">
        <v>0</v>
      </c>
      <c r="AJ65" s="167">
        <v>0</v>
      </c>
      <c r="AK65" s="167">
        <v>0</v>
      </c>
      <c r="AL65" s="167">
        <v>0</v>
      </c>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G65" s="149"/>
      <c r="CH65" s="149"/>
      <c r="CI65" s="149"/>
      <c r="CJ65" s="149"/>
      <c r="CK65" s="149"/>
      <c r="CL65" s="149"/>
      <c r="CM65" s="149"/>
      <c r="CN65" s="149"/>
      <c r="CO65" s="149"/>
      <c r="CP65" s="149"/>
      <c r="CQ65" s="149"/>
      <c r="CR65" s="149"/>
      <c r="CS65" s="149"/>
      <c r="CT65" s="149"/>
      <c r="CU65" s="149"/>
      <c r="CV65" s="149"/>
      <c r="CW65" s="149"/>
    </row>
    <row r="66" spans="2:101">
      <c r="B66" t="s">
        <v>723</v>
      </c>
      <c r="C66" s="167">
        <v>0</v>
      </c>
      <c r="D66" s="167">
        <v>0</v>
      </c>
      <c r="E66" s="167">
        <v>0</v>
      </c>
      <c r="F66" s="167">
        <v>0</v>
      </c>
      <c r="G66" s="167">
        <v>0</v>
      </c>
      <c r="H66" s="167">
        <v>0</v>
      </c>
      <c r="I66" s="167">
        <v>0</v>
      </c>
      <c r="J66" s="167">
        <v>0</v>
      </c>
      <c r="K66" s="167">
        <v>0</v>
      </c>
      <c r="L66" s="169">
        <v>0</v>
      </c>
      <c r="M66" s="167">
        <v>0</v>
      </c>
      <c r="N66" s="167">
        <v>0</v>
      </c>
      <c r="O66" s="167">
        <v>0</v>
      </c>
      <c r="P66" s="167">
        <v>0</v>
      </c>
      <c r="Q66" s="167">
        <v>0</v>
      </c>
      <c r="R66" s="167">
        <v>0</v>
      </c>
      <c r="S66" s="167">
        <v>0</v>
      </c>
      <c r="T66" s="167">
        <v>0</v>
      </c>
      <c r="U66" s="167">
        <v>0</v>
      </c>
      <c r="V66" s="167">
        <v>0</v>
      </c>
      <c r="W66" s="167">
        <v>0</v>
      </c>
      <c r="X66" s="167">
        <v>0</v>
      </c>
      <c r="Y66" s="167">
        <v>0</v>
      </c>
      <c r="Z66" s="167"/>
      <c r="AA66" s="167">
        <v>0</v>
      </c>
      <c r="AB66" s="167">
        <v>0</v>
      </c>
      <c r="AC66" s="167">
        <v>0</v>
      </c>
      <c r="AD66" s="167">
        <v>0</v>
      </c>
      <c r="AE66" s="167">
        <v>0</v>
      </c>
      <c r="AF66" s="167">
        <v>0</v>
      </c>
      <c r="AG66" s="167">
        <v>0</v>
      </c>
      <c r="AH66" s="167">
        <v>0</v>
      </c>
      <c r="AI66" s="167">
        <v>0</v>
      </c>
      <c r="AJ66" s="167">
        <v>0</v>
      </c>
      <c r="AK66" s="167">
        <v>0</v>
      </c>
      <c r="AL66" s="167">
        <v>0</v>
      </c>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49"/>
      <c r="CC66" s="149"/>
      <c r="CD66" s="149"/>
      <c r="CE66" s="149"/>
      <c r="CF66" s="149"/>
      <c r="CG66" s="149"/>
      <c r="CH66" s="149"/>
      <c r="CI66" s="149"/>
      <c r="CJ66" s="149"/>
      <c r="CK66" s="149"/>
      <c r="CL66" s="149"/>
      <c r="CM66" s="149"/>
      <c r="CN66" s="149"/>
      <c r="CO66" s="149"/>
      <c r="CP66" s="149"/>
      <c r="CQ66" s="149"/>
      <c r="CR66" s="149"/>
      <c r="CS66" s="149"/>
      <c r="CT66" s="149"/>
      <c r="CU66" s="149"/>
      <c r="CV66" s="149"/>
      <c r="CW66" s="149"/>
    </row>
    <row r="67" spans="2:101">
      <c r="B67" t="s">
        <v>724</v>
      </c>
      <c r="C67" s="167">
        <v>0</v>
      </c>
      <c r="D67" s="167">
        <v>0</v>
      </c>
      <c r="E67" s="167">
        <v>0</v>
      </c>
      <c r="F67" s="167">
        <v>0</v>
      </c>
      <c r="G67" s="167">
        <v>0</v>
      </c>
      <c r="H67" s="167">
        <v>0</v>
      </c>
      <c r="I67" s="167">
        <v>0</v>
      </c>
      <c r="J67" s="167">
        <v>0</v>
      </c>
      <c r="K67" s="167">
        <v>0</v>
      </c>
      <c r="L67" s="169">
        <v>0</v>
      </c>
      <c r="M67" s="167">
        <v>0</v>
      </c>
      <c r="N67" s="167">
        <v>0</v>
      </c>
      <c r="O67" s="167">
        <v>0</v>
      </c>
      <c r="P67" s="167">
        <v>0</v>
      </c>
      <c r="Q67" s="167">
        <v>0</v>
      </c>
      <c r="R67" s="167">
        <v>0</v>
      </c>
      <c r="S67" s="167">
        <v>0</v>
      </c>
      <c r="T67" s="167">
        <v>0</v>
      </c>
      <c r="U67" s="167">
        <v>0</v>
      </c>
      <c r="V67" s="167">
        <v>0</v>
      </c>
      <c r="W67" s="167">
        <v>0</v>
      </c>
      <c r="X67" s="167">
        <v>0</v>
      </c>
      <c r="Y67" s="167">
        <v>0</v>
      </c>
      <c r="Z67" s="167"/>
      <c r="AA67" s="167">
        <v>0</v>
      </c>
      <c r="AB67" s="167">
        <v>0</v>
      </c>
      <c r="AC67" s="167">
        <v>0</v>
      </c>
      <c r="AD67" s="167">
        <v>0</v>
      </c>
      <c r="AE67" s="167">
        <v>0</v>
      </c>
      <c r="AF67" s="167">
        <v>0</v>
      </c>
      <c r="AG67" s="167">
        <v>0</v>
      </c>
      <c r="AH67" s="167">
        <v>0</v>
      </c>
      <c r="AI67" s="167">
        <v>0</v>
      </c>
      <c r="AJ67" s="167">
        <v>0</v>
      </c>
      <c r="AK67" s="167">
        <v>0</v>
      </c>
      <c r="AL67" s="167">
        <v>0</v>
      </c>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row>
    <row r="68" spans="2:101">
      <c r="B68" t="s">
        <v>725</v>
      </c>
      <c r="C68" s="167">
        <v>0</v>
      </c>
      <c r="D68" s="167">
        <v>0</v>
      </c>
      <c r="E68" s="167">
        <v>0</v>
      </c>
      <c r="F68" s="167">
        <v>0</v>
      </c>
      <c r="G68" s="167">
        <v>0</v>
      </c>
      <c r="H68" s="167">
        <v>0</v>
      </c>
      <c r="I68" s="167">
        <v>0</v>
      </c>
      <c r="J68" s="167">
        <v>0</v>
      </c>
      <c r="K68" s="167">
        <v>0</v>
      </c>
      <c r="L68" s="169">
        <v>0</v>
      </c>
      <c r="M68" s="167">
        <v>0</v>
      </c>
      <c r="N68" s="167">
        <v>0</v>
      </c>
      <c r="O68" s="167">
        <v>0</v>
      </c>
      <c r="P68" s="167">
        <v>0</v>
      </c>
      <c r="Q68" s="167">
        <v>0</v>
      </c>
      <c r="R68" s="167">
        <v>0</v>
      </c>
      <c r="S68" s="167">
        <v>0</v>
      </c>
      <c r="T68" s="167">
        <v>0</v>
      </c>
      <c r="U68" s="167">
        <v>0</v>
      </c>
      <c r="V68" s="167">
        <v>0</v>
      </c>
      <c r="W68" s="167">
        <v>0</v>
      </c>
      <c r="X68" s="167">
        <v>0</v>
      </c>
      <c r="Y68" s="167">
        <v>0</v>
      </c>
      <c r="Z68" s="167"/>
      <c r="AA68" s="167">
        <v>0</v>
      </c>
      <c r="AB68" s="167">
        <v>0</v>
      </c>
      <c r="AC68" s="167">
        <v>0</v>
      </c>
      <c r="AD68" s="167">
        <v>0</v>
      </c>
      <c r="AE68" s="167">
        <v>0</v>
      </c>
      <c r="AF68" s="167">
        <v>0</v>
      </c>
      <c r="AG68" s="167">
        <v>0</v>
      </c>
      <c r="AH68" s="167">
        <v>0</v>
      </c>
      <c r="AI68" s="167">
        <v>0</v>
      </c>
      <c r="AJ68" s="167">
        <v>0</v>
      </c>
      <c r="AK68" s="167">
        <v>0</v>
      </c>
      <c r="AL68" s="167">
        <v>0</v>
      </c>
      <c r="AM68" s="149"/>
      <c r="AN68" s="149"/>
      <c r="AO68" s="149"/>
      <c r="AP68" s="149"/>
      <c r="AQ68" s="149"/>
      <c r="AR68" s="149"/>
      <c r="AS68" s="149"/>
      <c r="AT68" s="149"/>
      <c r="AU68" s="149"/>
      <c r="AV68" s="149"/>
      <c r="AW68" s="149"/>
      <c r="AX68" s="149"/>
      <c r="AY68" s="149"/>
      <c r="AZ68" s="149"/>
      <c r="BA68" s="149"/>
      <c r="BB68" s="149"/>
      <c r="BC68" s="149"/>
      <c r="BD68" s="149"/>
      <c r="BE68" s="149"/>
      <c r="BF68" s="149"/>
      <c r="BG68" s="149"/>
      <c r="BH68" s="149"/>
      <c r="BI68" s="149"/>
      <c r="BJ68" s="149"/>
      <c r="BK68" s="149"/>
      <c r="BL68" s="149"/>
      <c r="BM68" s="149"/>
      <c r="BN68" s="149"/>
      <c r="BO68" s="149"/>
      <c r="BP68" s="149"/>
      <c r="BQ68" s="149"/>
      <c r="BR68" s="149"/>
      <c r="BS68" s="149"/>
      <c r="BT68" s="149"/>
      <c r="BU68" s="149"/>
      <c r="BV68" s="149"/>
      <c r="BW68" s="149"/>
      <c r="BX68" s="149"/>
      <c r="BY68" s="149"/>
      <c r="BZ68" s="149"/>
      <c r="CA68" s="149"/>
      <c r="CB68" s="149"/>
      <c r="CC68" s="149"/>
      <c r="CD68" s="149"/>
      <c r="CE68" s="149"/>
      <c r="CF68" s="149"/>
      <c r="CG68" s="149"/>
      <c r="CH68" s="149"/>
      <c r="CI68" s="149"/>
      <c r="CJ68" s="149"/>
      <c r="CK68" s="149"/>
      <c r="CL68" s="149"/>
      <c r="CM68" s="149"/>
      <c r="CN68" s="149"/>
      <c r="CO68" s="149"/>
      <c r="CP68" s="149"/>
      <c r="CQ68" s="149"/>
      <c r="CR68" s="149"/>
      <c r="CS68" s="149"/>
      <c r="CT68" s="149"/>
      <c r="CU68" s="149"/>
      <c r="CV68" s="149"/>
      <c r="CW68" s="149"/>
    </row>
    <row r="69" spans="2:101">
      <c r="B69" t="s">
        <v>726</v>
      </c>
      <c r="C69" s="167">
        <v>0</v>
      </c>
      <c r="D69" s="167">
        <v>0</v>
      </c>
      <c r="E69" s="167">
        <v>0</v>
      </c>
      <c r="F69" s="167">
        <v>0</v>
      </c>
      <c r="G69" s="167">
        <v>0</v>
      </c>
      <c r="H69" s="167">
        <v>0</v>
      </c>
      <c r="I69" s="167">
        <v>0</v>
      </c>
      <c r="J69" s="167">
        <v>0</v>
      </c>
      <c r="K69" s="167">
        <v>0</v>
      </c>
      <c r="L69" s="169">
        <v>0</v>
      </c>
      <c r="M69" s="167">
        <v>0</v>
      </c>
      <c r="N69" s="167">
        <v>0</v>
      </c>
      <c r="O69" s="167">
        <v>0</v>
      </c>
      <c r="P69" s="167">
        <v>0</v>
      </c>
      <c r="Q69" s="167">
        <v>0</v>
      </c>
      <c r="R69" s="167">
        <v>0</v>
      </c>
      <c r="S69" s="167">
        <v>0</v>
      </c>
      <c r="T69" s="167">
        <v>0</v>
      </c>
      <c r="U69" s="167">
        <v>0</v>
      </c>
      <c r="V69" s="167">
        <v>0</v>
      </c>
      <c r="W69" s="167">
        <v>0</v>
      </c>
      <c r="X69" s="167">
        <v>0</v>
      </c>
      <c r="Y69" s="167">
        <v>0</v>
      </c>
      <c r="Z69" s="167"/>
      <c r="AA69" s="167">
        <v>0</v>
      </c>
      <c r="AB69" s="167">
        <v>0</v>
      </c>
      <c r="AC69" s="167">
        <v>0</v>
      </c>
      <c r="AD69" s="167">
        <v>0</v>
      </c>
      <c r="AE69" s="167">
        <v>0</v>
      </c>
      <c r="AF69" s="167">
        <v>0</v>
      </c>
      <c r="AG69" s="167">
        <v>0</v>
      </c>
      <c r="AH69" s="167">
        <v>0</v>
      </c>
      <c r="AI69" s="167">
        <v>0</v>
      </c>
      <c r="AJ69" s="167">
        <v>0</v>
      </c>
      <c r="AK69" s="167">
        <v>0</v>
      </c>
      <c r="AL69" s="167">
        <v>0</v>
      </c>
      <c r="AM69" s="149"/>
      <c r="AN69" s="149"/>
      <c r="AO69" s="149"/>
      <c r="AP69" s="149"/>
      <c r="AQ69" s="149"/>
      <c r="AR69" s="149"/>
      <c r="AS69" s="149"/>
      <c r="AT69" s="149"/>
      <c r="AU69" s="149"/>
      <c r="AV69" s="149"/>
      <c r="AW69" s="149"/>
      <c r="AX69" s="149"/>
      <c r="AY69" s="149"/>
      <c r="AZ69" s="149"/>
      <c r="BA69" s="149"/>
      <c r="BB69" s="149"/>
      <c r="BC69" s="149"/>
      <c r="BD69" s="149"/>
      <c r="BE69" s="149"/>
      <c r="BF69" s="149"/>
      <c r="BG69" s="149"/>
      <c r="BH69" s="149"/>
      <c r="BI69" s="149"/>
      <c r="BJ69" s="149"/>
      <c r="BK69" s="149"/>
      <c r="BL69" s="149"/>
      <c r="BM69" s="149"/>
      <c r="BN69" s="149"/>
      <c r="BO69" s="149"/>
      <c r="BP69" s="149"/>
      <c r="BQ69" s="149"/>
      <c r="BR69" s="149"/>
      <c r="BS69" s="149"/>
      <c r="BT69" s="149"/>
      <c r="BU69" s="149"/>
      <c r="BV69" s="149"/>
      <c r="BW69" s="149"/>
      <c r="BX69" s="149"/>
      <c r="BY69" s="149"/>
      <c r="BZ69" s="149"/>
      <c r="CA69" s="149"/>
      <c r="CB69" s="149"/>
      <c r="CC69" s="149"/>
      <c r="CD69" s="149"/>
      <c r="CE69" s="149"/>
      <c r="CF69" s="149"/>
      <c r="CG69" s="149"/>
      <c r="CH69" s="149"/>
      <c r="CI69" s="149"/>
      <c r="CJ69" s="149"/>
      <c r="CK69" s="149"/>
      <c r="CL69" s="149"/>
      <c r="CM69" s="149"/>
      <c r="CN69" s="149"/>
      <c r="CO69" s="149"/>
      <c r="CP69" s="149"/>
      <c r="CQ69" s="149"/>
      <c r="CR69" s="149"/>
      <c r="CS69" s="149"/>
      <c r="CT69" s="149"/>
      <c r="CU69" s="149"/>
      <c r="CV69" s="149"/>
      <c r="CW69" s="149"/>
    </row>
    <row r="70" spans="2:101">
      <c r="B70" t="s">
        <v>727</v>
      </c>
      <c r="C70" s="167">
        <v>0</v>
      </c>
      <c r="D70" s="167">
        <v>0</v>
      </c>
      <c r="E70" s="167">
        <v>0</v>
      </c>
      <c r="F70" s="167">
        <v>0</v>
      </c>
      <c r="G70" s="167">
        <v>0</v>
      </c>
      <c r="H70" s="167">
        <v>0</v>
      </c>
      <c r="I70" s="167">
        <v>0</v>
      </c>
      <c r="J70" s="167">
        <v>0</v>
      </c>
      <c r="K70" s="167">
        <v>0</v>
      </c>
      <c r="L70" s="169">
        <v>0</v>
      </c>
      <c r="M70" s="167">
        <v>0</v>
      </c>
      <c r="N70" s="167">
        <v>0</v>
      </c>
      <c r="O70" s="167">
        <v>0</v>
      </c>
      <c r="P70" s="167">
        <v>0</v>
      </c>
      <c r="Q70" s="167">
        <v>0</v>
      </c>
      <c r="R70" s="167">
        <v>0</v>
      </c>
      <c r="S70" s="167">
        <v>0</v>
      </c>
      <c r="T70" s="167">
        <v>0</v>
      </c>
      <c r="U70" s="167">
        <v>0</v>
      </c>
      <c r="V70" s="167">
        <v>0</v>
      </c>
      <c r="W70" s="167">
        <v>0</v>
      </c>
      <c r="X70" s="167">
        <v>0</v>
      </c>
      <c r="Y70" s="167">
        <v>0</v>
      </c>
      <c r="Z70" s="167"/>
      <c r="AA70" s="167">
        <v>0</v>
      </c>
      <c r="AB70" s="167">
        <v>0</v>
      </c>
      <c r="AC70" s="167">
        <v>0</v>
      </c>
      <c r="AD70" s="167">
        <v>0</v>
      </c>
      <c r="AE70" s="167">
        <v>0</v>
      </c>
      <c r="AF70" s="167">
        <v>0</v>
      </c>
      <c r="AG70" s="167">
        <v>0</v>
      </c>
      <c r="AH70" s="167">
        <v>0</v>
      </c>
      <c r="AI70" s="167">
        <v>0</v>
      </c>
      <c r="AJ70" s="167">
        <v>0</v>
      </c>
      <c r="AK70" s="167">
        <v>0</v>
      </c>
      <c r="AL70" s="167">
        <v>0</v>
      </c>
      <c r="AM70" s="149"/>
      <c r="AN70" s="149"/>
      <c r="AO70" s="149"/>
      <c r="AP70" s="149"/>
      <c r="AQ70" s="149"/>
      <c r="AR70" s="149"/>
      <c r="AS70" s="149"/>
      <c r="AT70" s="149"/>
      <c r="AU70" s="149"/>
      <c r="AV70" s="149"/>
      <c r="AW70" s="149"/>
      <c r="AX70" s="149"/>
      <c r="AY70" s="149"/>
      <c r="AZ70" s="149"/>
      <c r="BA70" s="149"/>
      <c r="BB70" s="149"/>
      <c r="BC70" s="149"/>
      <c r="BD70" s="149"/>
      <c r="BE70" s="149"/>
      <c r="BF70" s="149"/>
      <c r="BG70" s="149"/>
      <c r="BH70" s="149"/>
      <c r="BI70" s="149"/>
      <c r="BJ70" s="149"/>
      <c r="BK70" s="149"/>
      <c r="BL70" s="149"/>
      <c r="BM70" s="149"/>
      <c r="BN70" s="149"/>
      <c r="BO70" s="149"/>
      <c r="BP70" s="149"/>
      <c r="BQ70" s="149"/>
      <c r="BR70" s="149"/>
      <c r="BS70" s="149"/>
      <c r="BT70" s="149"/>
      <c r="BU70" s="149"/>
      <c r="BV70" s="149"/>
      <c r="BW70" s="149"/>
      <c r="BX70" s="149"/>
      <c r="BY70" s="149"/>
      <c r="BZ70" s="149"/>
      <c r="CA70" s="149"/>
      <c r="CB70" s="149"/>
      <c r="CC70" s="149"/>
      <c r="CD70" s="149"/>
      <c r="CE70" s="149"/>
      <c r="CF70" s="149"/>
      <c r="CG70" s="149"/>
      <c r="CH70" s="149"/>
      <c r="CI70" s="149"/>
      <c r="CJ70" s="149"/>
      <c r="CK70" s="149"/>
      <c r="CL70" s="149"/>
      <c r="CM70" s="149"/>
      <c r="CN70" s="149"/>
      <c r="CO70" s="149"/>
      <c r="CP70" s="149"/>
      <c r="CQ70" s="149"/>
      <c r="CR70" s="149"/>
      <c r="CS70" s="149"/>
      <c r="CT70" s="149"/>
      <c r="CU70" s="149"/>
      <c r="CV70" s="149"/>
      <c r="CW70" s="149"/>
    </row>
    <row r="71" spans="2:101">
      <c r="B71" t="s">
        <v>728</v>
      </c>
      <c r="C71" s="167">
        <v>0</v>
      </c>
      <c r="D71" s="167">
        <v>0</v>
      </c>
      <c r="E71" s="167">
        <v>0</v>
      </c>
      <c r="F71" s="167">
        <v>0</v>
      </c>
      <c r="G71" s="167">
        <v>0</v>
      </c>
      <c r="H71" s="167">
        <v>0</v>
      </c>
      <c r="I71" s="167">
        <v>0</v>
      </c>
      <c r="J71" s="167">
        <v>0</v>
      </c>
      <c r="K71" s="167">
        <v>0</v>
      </c>
      <c r="L71" s="169">
        <v>0</v>
      </c>
      <c r="M71" s="167">
        <v>0</v>
      </c>
      <c r="N71" s="167">
        <v>0</v>
      </c>
      <c r="O71" s="167">
        <v>0</v>
      </c>
      <c r="P71" s="167">
        <v>0</v>
      </c>
      <c r="Q71" s="167">
        <v>0</v>
      </c>
      <c r="R71" s="167">
        <v>0</v>
      </c>
      <c r="S71" s="167">
        <v>0</v>
      </c>
      <c r="T71" s="167">
        <v>0</v>
      </c>
      <c r="U71" s="167">
        <v>0</v>
      </c>
      <c r="V71" s="167">
        <v>0</v>
      </c>
      <c r="W71" s="167">
        <v>0</v>
      </c>
      <c r="X71" s="167">
        <v>0</v>
      </c>
      <c r="Y71" s="167">
        <v>0</v>
      </c>
      <c r="Z71" s="167"/>
      <c r="AA71" s="167">
        <v>0</v>
      </c>
      <c r="AB71" s="167">
        <v>0</v>
      </c>
      <c r="AC71" s="167">
        <v>0</v>
      </c>
      <c r="AD71" s="167">
        <v>0</v>
      </c>
      <c r="AE71" s="167">
        <v>0</v>
      </c>
      <c r="AF71" s="167">
        <v>0</v>
      </c>
      <c r="AG71" s="167">
        <v>0</v>
      </c>
      <c r="AH71" s="167">
        <v>0</v>
      </c>
      <c r="AI71" s="167">
        <v>0</v>
      </c>
      <c r="AJ71" s="167">
        <v>0</v>
      </c>
      <c r="AK71" s="167">
        <v>0</v>
      </c>
      <c r="AL71" s="167">
        <v>0</v>
      </c>
      <c r="AM71" s="149"/>
      <c r="AN71" s="149"/>
      <c r="AO71" s="149"/>
      <c r="AP71" s="149"/>
      <c r="AQ71" s="149"/>
      <c r="AR71" s="149"/>
      <c r="AS71" s="149"/>
      <c r="AT71" s="149"/>
      <c r="AU71" s="149"/>
      <c r="AV71" s="149"/>
      <c r="AW71" s="149"/>
      <c r="AX71" s="149"/>
      <c r="AY71" s="149"/>
      <c r="AZ71" s="149"/>
      <c r="BA71" s="149"/>
      <c r="BB71" s="149"/>
      <c r="BC71" s="149"/>
      <c r="BD71" s="149"/>
      <c r="BE71" s="149"/>
      <c r="BF71" s="149"/>
      <c r="BG71" s="149"/>
      <c r="BH71" s="149"/>
      <c r="BI71" s="149"/>
      <c r="BJ71" s="149"/>
      <c r="BK71" s="149"/>
      <c r="BL71" s="149"/>
      <c r="BM71" s="149"/>
      <c r="BN71" s="149"/>
      <c r="BO71" s="149"/>
      <c r="BP71" s="149"/>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c r="CO71" s="149"/>
      <c r="CP71" s="149"/>
      <c r="CQ71" s="149"/>
      <c r="CR71" s="149"/>
      <c r="CS71" s="149"/>
      <c r="CT71" s="149"/>
      <c r="CU71" s="149"/>
      <c r="CV71" s="149"/>
      <c r="CW71" s="149"/>
    </row>
    <row r="72" spans="2:101">
      <c r="B72" t="s">
        <v>729</v>
      </c>
      <c r="C72" s="167">
        <v>0</v>
      </c>
      <c r="D72" s="167">
        <v>0</v>
      </c>
      <c r="E72" s="167">
        <v>0</v>
      </c>
      <c r="F72" s="167">
        <v>0</v>
      </c>
      <c r="G72" s="167">
        <v>0</v>
      </c>
      <c r="H72" s="167">
        <v>0</v>
      </c>
      <c r="I72" s="167">
        <v>0</v>
      </c>
      <c r="J72" s="167">
        <v>0</v>
      </c>
      <c r="K72" s="167">
        <v>0</v>
      </c>
      <c r="L72" s="169">
        <v>0</v>
      </c>
      <c r="M72" s="167">
        <v>0</v>
      </c>
      <c r="N72" s="167">
        <v>0</v>
      </c>
      <c r="O72" s="167">
        <v>0</v>
      </c>
      <c r="P72" s="167">
        <v>0</v>
      </c>
      <c r="Q72" s="167">
        <v>0</v>
      </c>
      <c r="R72" s="167">
        <v>0</v>
      </c>
      <c r="S72" s="167">
        <v>0</v>
      </c>
      <c r="T72" s="167">
        <v>0</v>
      </c>
      <c r="U72" s="167">
        <v>0</v>
      </c>
      <c r="V72" s="167">
        <v>0</v>
      </c>
      <c r="W72" s="167">
        <v>0</v>
      </c>
      <c r="X72" s="167">
        <v>0</v>
      </c>
      <c r="Y72" s="167">
        <v>0</v>
      </c>
      <c r="Z72" s="167"/>
      <c r="AA72" s="167">
        <v>0</v>
      </c>
      <c r="AB72" s="167">
        <v>0</v>
      </c>
      <c r="AC72" s="167">
        <v>0</v>
      </c>
      <c r="AD72" s="167">
        <v>0</v>
      </c>
      <c r="AE72" s="167">
        <v>0</v>
      </c>
      <c r="AF72" s="167">
        <v>0</v>
      </c>
      <c r="AG72" s="167">
        <v>0</v>
      </c>
      <c r="AH72" s="167">
        <v>0</v>
      </c>
      <c r="AI72" s="167">
        <v>0</v>
      </c>
      <c r="AJ72" s="167">
        <v>0</v>
      </c>
      <c r="AK72" s="167">
        <v>0</v>
      </c>
      <c r="AL72" s="167">
        <v>0</v>
      </c>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row>
    <row r="73" spans="2:101">
      <c r="B73" t="s">
        <v>730</v>
      </c>
      <c r="C73" s="167">
        <v>0</v>
      </c>
      <c r="D73" s="167">
        <v>0</v>
      </c>
      <c r="E73" s="167">
        <v>0</v>
      </c>
      <c r="F73" s="167">
        <v>0</v>
      </c>
      <c r="G73" s="167">
        <v>0</v>
      </c>
      <c r="H73" s="167">
        <v>0</v>
      </c>
      <c r="I73" s="167">
        <v>0</v>
      </c>
      <c r="J73" s="167">
        <v>0</v>
      </c>
      <c r="K73" s="167">
        <v>0</v>
      </c>
      <c r="L73" s="169">
        <v>0</v>
      </c>
      <c r="M73" s="167">
        <v>0</v>
      </c>
      <c r="N73" s="167">
        <v>0</v>
      </c>
      <c r="O73" s="167">
        <v>0</v>
      </c>
      <c r="P73" s="167">
        <v>0</v>
      </c>
      <c r="Q73" s="167">
        <v>0</v>
      </c>
      <c r="R73" s="167">
        <v>0</v>
      </c>
      <c r="S73" s="167">
        <v>0</v>
      </c>
      <c r="T73" s="167">
        <v>0</v>
      </c>
      <c r="U73" s="167">
        <v>0</v>
      </c>
      <c r="V73" s="167">
        <v>0</v>
      </c>
      <c r="W73" s="167">
        <v>0</v>
      </c>
      <c r="X73" s="167">
        <v>0</v>
      </c>
      <c r="Y73" s="167">
        <v>0</v>
      </c>
      <c r="Z73" s="167"/>
      <c r="AA73" s="167">
        <v>0</v>
      </c>
      <c r="AB73" s="167">
        <v>0</v>
      </c>
      <c r="AC73" s="167">
        <v>0</v>
      </c>
      <c r="AD73" s="167">
        <v>0</v>
      </c>
      <c r="AE73" s="167">
        <v>0</v>
      </c>
      <c r="AF73" s="167">
        <v>0</v>
      </c>
      <c r="AG73" s="167">
        <v>0</v>
      </c>
      <c r="AH73" s="167">
        <v>0</v>
      </c>
      <c r="AI73" s="167">
        <v>0</v>
      </c>
      <c r="AJ73" s="167">
        <v>0</v>
      </c>
      <c r="AK73" s="167">
        <v>0</v>
      </c>
      <c r="AL73" s="167">
        <v>0</v>
      </c>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row>
    <row r="74" spans="2:101">
      <c r="B74" t="s">
        <v>731</v>
      </c>
      <c r="C74" s="167">
        <v>0</v>
      </c>
      <c r="D74" s="167">
        <v>0</v>
      </c>
      <c r="E74" s="167">
        <v>0</v>
      </c>
      <c r="F74" s="167">
        <v>0</v>
      </c>
      <c r="G74" s="167">
        <v>0</v>
      </c>
      <c r="H74" s="167">
        <v>0</v>
      </c>
      <c r="I74" s="167">
        <v>0</v>
      </c>
      <c r="J74" s="167">
        <v>0</v>
      </c>
      <c r="K74" s="167">
        <v>0</v>
      </c>
      <c r="L74" s="169">
        <v>0</v>
      </c>
      <c r="M74" s="167">
        <v>0</v>
      </c>
      <c r="N74" s="167">
        <v>0</v>
      </c>
      <c r="O74" s="167">
        <v>0</v>
      </c>
      <c r="P74" s="167">
        <v>0</v>
      </c>
      <c r="Q74" s="167">
        <v>0</v>
      </c>
      <c r="R74" s="167">
        <v>0</v>
      </c>
      <c r="S74" s="167">
        <v>0</v>
      </c>
      <c r="T74" s="167">
        <v>0</v>
      </c>
      <c r="U74" s="167">
        <v>0</v>
      </c>
      <c r="V74" s="167">
        <v>0</v>
      </c>
      <c r="W74" s="167">
        <v>0</v>
      </c>
      <c r="X74" s="167">
        <v>0</v>
      </c>
      <c r="Y74" s="167">
        <v>0</v>
      </c>
      <c r="Z74" s="167"/>
      <c r="AA74" s="167">
        <v>0</v>
      </c>
      <c r="AB74" s="167">
        <v>0</v>
      </c>
      <c r="AC74" s="167">
        <v>0</v>
      </c>
      <c r="AD74" s="167">
        <v>0</v>
      </c>
      <c r="AE74" s="167">
        <v>0</v>
      </c>
      <c r="AF74" s="167">
        <v>0</v>
      </c>
      <c r="AG74" s="167">
        <v>0</v>
      </c>
      <c r="AH74" s="167">
        <v>0</v>
      </c>
      <c r="AI74" s="167">
        <v>0</v>
      </c>
      <c r="AJ74" s="167">
        <v>0</v>
      </c>
      <c r="AK74" s="167">
        <v>0</v>
      </c>
      <c r="AL74" s="167">
        <v>0</v>
      </c>
      <c r="AM74" s="149"/>
      <c r="AN74" s="149"/>
      <c r="AO74" s="149"/>
      <c r="AP74" s="149"/>
      <c r="AQ74" s="149"/>
      <c r="AR74" s="149"/>
      <c r="AS74" s="149"/>
      <c r="AT74" s="149"/>
      <c r="AU74" s="149"/>
      <c r="AV74" s="149"/>
      <c r="AW74" s="149"/>
      <c r="AX74" s="149"/>
      <c r="AY74" s="149"/>
      <c r="AZ74" s="149"/>
      <c r="BA74" s="149"/>
      <c r="BB74" s="149"/>
      <c r="BC74" s="149"/>
      <c r="BD74" s="149"/>
      <c r="BE74" s="149"/>
      <c r="BF74" s="149"/>
      <c r="BG74" s="149"/>
      <c r="BH74" s="149"/>
      <c r="BI74" s="149"/>
      <c r="BJ74" s="149"/>
      <c r="BK74" s="149"/>
      <c r="BL74" s="149"/>
      <c r="BM74" s="149"/>
      <c r="BN74" s="149"/>
      <c r="BO74" s="149"/>
      <c r="BP74" s="149"/>
      <c r="BQ74" s="149"/>
      <c r="BR74" s="149"/>
      <c r="BS74" s="149"/>
      <c r="BT74" s="149"/>
      <c r="BU74" s="149"/>
      <c r="BV74" s="149"/>
      <c r="BW74" s="149"/>
      <c r="BX74" s="149"/>
      <c r="BY74" s="149"/>
      <c r="BZ74" s="149"/>
      <c r="CA74" s="149"/>
      <c r="CB74" s="149"/>
      <c r="CC74" s="149"/>
      <c r="CD74" s="149"/>
      <c r="CE74" s="149"/>
      <c r="CF74" s="149"/>
      <c r="CG74" s="149"/>
      <c r="CH74" s="149"/>
      <c r="CI74" s="149"/>
      <c r="CJ74" s="149"/>
      <c r="CK74" s="149"/>
      <c r="CL74" s="149"/>
      <c r="CM74" s="149"/>
      <c r="CN74" s="149"/>
      <c r="CO74" s="149"/>
      <c r="CP74" s="149"/>
      <c r="CQ74" s="149"/>
      <c r="CR74" s="149"/>
      <c r="CS74" s="149"/>
      <c r="CT74" s="149"/>
      <c r="CU74" s="149"/>
      <c r="CV74" s="149"/>
      <c r="CW74" s="149"/>
    </row>
    <row r="75" spans="2:101">
      <c r="B75" t="s">
        <v>732</v>
      </c>
      <c r="C75" s="167">
        <v>0</v>
      </c>
      <c r="D75" s="167">
        <v>0</v>
      </c>
      <c r="E75" s="167">
        <v>0</v>
      </c>
      <c r="F75" s="167">
        <v>0</v>
      </c>
      <c r="G75" s="167">
        <v>0</v>
      </c>
      <c r="H75" s="167">
        <v>0</v>
      </c>
      <c r="I75" s="167">
        <v>0</v>
      </c>
      <c r="J75" s="167">
        <v>0</v>
      </c>
      <c r="K75" s="167">
        <v>0</v>
      </c>
      <c r="L75" s="169">
        <v>0</v>
      </c>
      <c r="M75" s="167">
        <v>0</v>
      </c>
      <c r="N75" s="167">
        <v>0</v>
      </c>
      <c r="O75" s="167">
        <v>0</v>
      </c>
      <c r="P75" s="167">
        <v>0</v>
      </c>
      <c r="Q75" s="167">
        <v>0</v>
      </c>
      <c r="R75" s="167">
        <v>0</v>
      </c>
      <c r="S75" s="167">
        <v>0</v>
      </c>
      <c r="T75" s="167">
        <v>0</v>
      </c>
      <c r="U75" s="167">
        <v>0</v>
      </c>
      <c r="V75" s="167">
        <v>0</v>
      </c>
      <c r="W75" s="167">
        <v>0</v>
      </c>
      <c r="X75" s="167">
        <v>0</v>
      </c>
      <c r="Y75" s="167">
        <v>0</v>
      </c>
      <c r="Z75" s="167"/>
      <c r="AA75" s="167">
        <v>0</v>
      </c>
      <c r="AB75" s="167">
        <v>0</v>
      </c>
      <c r="AC75" s="167">
        <v>0</v>
      </c>
      <c r="AD75" s="167">
        <v>0</v>
      </c>
      <c r="AE75" s="167">
        <v>0</v>
      </c>
      <c r="AF75" s="167">
        <v>0</v>
      </c>
      <c r="AG75" s="167">
        <v>0</v>
      </c>
      <c r="AH75" s="167">
        <v>0</v>
      </c>
      <c r="AI75" s="167">
        <v>0</v>
      </c>
      <c r="AJ75" s="167">
        <v>0</v>
      </c>
      <c r="AK75" s="167">
        <v>0</v>
      </c>
      <c r="AL75" s="167">
        <v>0</v>
      </c>
      <c r="AM75" s="149"/>
      <c r="AN75" s="149"/>
      <c r="AO75" s="149"/>
      <c r="AP75" s="149"/>
      <c r="AQ75" s="149"/>
      <c r="AR75" s="149"/>
      <c r="AS75" s="149"/>
      <c r="AT75" s="149"/>
      <c r="AU75" s="149"/>
      <c r="AV75" s="149"/>
      <c r="AW75" s="149"/>
      <c r="AX75" s="149"/>
      <c r="AY75" s="149"/>
      <c r="AZ75" s="149"/>
      <c r="BA75" s="149"/>
      <c r="BB75" s="149"/>
      <c r="BC75" s="149"/>
      <c r="BD75" s="149"/>
      <c r="BE75" s="149"/>
      <c r="BF75" s="149"/>
      <c r="BG75" s="149"/>
      <c r="BH75" s="149"/>
      <c r="BI75" s="149"/>
      <c r="BJ75" s="149"/>
      <c r="BK75" s="149"/>
      <c r="BL75" s="149"/>
      <c r="BM75" s="149"/>
      <c r="BN75" s="149"/>
      <c r="BO75" s="149"/>
      <c r="BP75" s="149"/>
      <c r="BQ75" s="149"/>
      <c r="BR75" s="149"/>
      <c r="BS75" s="149"/>
      <c r="BT75" s="149"/>
      <c r="BU75" s="149"/>
      <c r="BV75" s="149"/>
      <c r="BW75" s="149"/>
      <c r="BX75" s="149"/>
      <c r="BY75" s="149"/>
      <c r="BZ75" s="149"/>
      <c r="CA75" s="149"/>
      <c r="CB75" s="149"/>
      <c r="CC75" s="149"/>
      <c r="CD75" s="149"/>
      <c r="CE75" s="149"/>
      <c r="CF75" s="149"/>
      <c r="CG75" s="149"/>
      <c r="CH75" s="149"/>
      <c r="CI75" s="149"/>
      <c r="CJ75" s="149"/>
      <c r="CK75" s="149"/>
      <c r="CL75" s="149"/>
      <c r="CM75" s="149"/>
      <c r="CN75" s="149"/>
      <c r="CO75" s="149"/>
      <c r="CP75" s="149"/>
      <c r="CQ75" s="149"/>
      <c r="CR75" s="149"/>
      <c r="CS75" s="149"/>
      <c r="CT75" s="149"/>
      <c r="CU75" s="149"/>
      <c r="CV75" s="149"/>
      <c r="CW75" s="149"/>
    </row>
    <row r="76" spans="2:101">
      <c r="B76" t="s">
        <v>733</v>
      </c>
      <c r="C76" s="167">
        <v>0</v>
      </c>
      <c r="D76" s="167">
        <v>0</v>
      </c>
      <c r="E76" s="167">
        <v>0</v>
      </c>
      <c r="F76" s="167">
        <v>0</v>
      </c>
      <c r="G76" s="167">
        <v>0</v>
      </c>
      <c r="H76" s="167">
        <v>0</v>
      </c>
      <c r="I76" s="167">
        <v>0</v>
      </c>
      <c r="J76" s="167">
        <v>0</v>
      </c>
      <c r="K76" s="167">
        <v>0</v>
      </c>
      <c r="L76" s="169">
        <v>0</v>
      </c>
      <c r="M76" s="167">
        <v>0</v>
      </c>
      <c r="N76" s="167">
        <v>0</v>
      </c>
      <c r="O76" s="167">
        <v>0</v>
      </c>
      <c r="P76" s="167">
        <v>0</v>
      </c>
      <c r="Q76" s="167">
        <v>0</v>
      </c>
      <c r="R76" s="167">
        <v>0</v>
      </c>
      <c r="S76" s="167">
        <v>0</v>
      </c>
      <c r="T76" s="167">
        <v>0</v>
      </c>
      <c r="U76" s="167">
        <v>0</v>
      </c>
      <c r="V76" s="167">
        <v>0</v>
      </c>
      <c r="W76" s="167">
        <v>0</v>
      </c>
      <c r="X76" s="167">
        <v>0</v>
      </c>
      <c r="Y76" s="167">
        <v>0</v>
      </c>
      <c r="Z76" s="167"/>
      <c r="AA76" s="167">
        <v>0</v>
      </c>
      <c r="AB76" s="167">
        <v>0</v>
      </c>
      <c r="AC76" s="167">
        <v>0</v>
      </c>
      <c r="AD76" s="167">
        <v>0</v>
      </c>
      <c r="AE76" s="167">
        <v>0</v>
      </c>
      <c r="AF76" s="167">
        <v>0</v>
      </c>
      <c r="AG76" s="167">
        <v>0</v>
      </c>
      <c r="AH76" s="167">
        <v>0</v>
      </c>
      <c r="AI76" s="167">
        <v>0</v>
      </c>
      <c r="AJ76" s="167">
        <v>0</v>
      </c>
      <c r="AK76" s="167">
        <v>0</v>
      </c>
      <c r="AL76" s="167">
        <v>0</v>
      </c>
      <c r="AM76" s="149"/>
      <c r="AN76" s="149"/>
      <c r="AO76" s="149"/>
      <c r="AP76" s="149"/>
      <c r="AQ76" s="149"/>
      <c r="AR76" s="149"/>
      <c r="AS76" s="149"/>
      <c r="AT76" s="149"/>
      <c r="AU76" s="149"/>
      <c r="AV76" s="149"/>
      <c r="AW76" s="149"/>
      <c r="AX76" s="149"/>
      <c r="AY76" s="149"/>
      <c r="AZ76" s="149"/>
      <c r="BA76" s="149"/>
      <c r="BB76" s="149"/>
      <c r="BC76" s="149"/>
      <c r="BD76" s="149"/>
      <c r="BE76" s="149"/>
      <c r="BF76" s="149"/>
      <c r="BG76" s="149"/>
      <c r="BH76" s="149"/>
      <c r="BI76" s="149"/>
      <c r="BJ76" s="149"/>
      <c r="BK76" s="149"/>
      <c r="BL76" s="149"/>
      <c r="BM76" s="149"/>
      <c r="BN76" s="149"/>
      <c r="BO76" s="149"/>
      <c r="BP76" s="149"/>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c r="CO76" s="149"/>
      <c r="CP76" s="149"/>
      <c r="CQ76" s="149"/>
      <c r="CR76" s="149"/>
      <c r="CS76" s="149"/>
      <c r="CT76" s="149"/>
      <c r="CU76" s="149"/>
      <c r="CV76" s="149"/>
      <c r="CW76" s="149"/>
    </row>
    <row r="77" spans="2:101">
      <c r="B77" t="s">
        <v>734</v>
      </c>
      <c r="C77" s="167">
        <v>0</v>
      </c>
      <c r="D77" s="167">
        <v>0</v>
      </c>
      <c r="E77" s="167">
        <v>0</v>
      </c>
      <c r="F77" s="167">
        <v>0</v>
      </c>
      <c r="G77" s="167">
        <v>0</v>
      </c>
      <c r="H77" s="167">
        <v>0</v>
      </c>
      <c r="I77" s="167">
        <v>0</v>
      </c>
      <c r="J77" s="167">
        <v>0</v>
      </c>
      <c r="K77" s="167">
        <v>0</v>
      </c>
      <c r="L77" s="169">
        <v>0</v>
      </c>
      <c r="M77" s="167">
        <v>0</v>
      </c>
      <c r="N77" s="167">
        <v>0</v>
      </c>
      <c r="O77" s="167">
        <v>0</v>
      </c>
      <c r="P77" s="167">
        <v>0</v>
      </c>
      <c r="Q77" s="167">
        <v>0</v>
      </c>
      <c r="R77" s="167">
        <v>0</v>
      </c>
      <c r="S77" s="167">
        <v>0</v>
      </c>
      <c r="T77" s="167">
        <v>0</v>
      </c>
      <c r="U77" s="167">
        <v>0</v>
      </c>
      <c r="V77" s="167">
        <v>0</v>
      </c>
      <c r="W77" s="167">
        <v>0</v>
      </c>
      <c r="X77" s="167">
        <v>0</v>
      </c>
      <c r="Y77" s="167">
        <v>0</v>
      </c>
      <c r="Z77" s="167"/>
      <c r="AA77" s="167">
        <v>0</v>
      </c>
      <c r="AB77" s="167">
        <v>0</v>
      </c>
      <c r="AC77" s="167">
        <v>0</v>
      </c>
      <c r="AD77" s="167">
        <v>0</v>
      </c>
      <c r="AE77" s="167">
        <v>0</v>
      </c>
      <c r="AF77" s="167">
        <v>0</v>
      </c>
      <c r="AG77" s="167">
        <v>0</v>
      </c>
      <c r="AH77" s="167">
        <v>0</v>
      </c>
      <c r="AI77" s="167">
        <v>0</v>
      </c>
      <c r="AJ77" s="167">
        <v>0</v>
      </c>
      <c r="AK77" s="167">
        <v>0</v>
      </c>
      <c r="AL77" s="167">
        <v>0</v>
      </c>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49"/>
      <c r="BO77" s="149"/>
      <c r="BP77" s="149"/>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c r="CO77" s="149"/>
      <c r="CP77" s="149"/>
      <c r="CQ77" s="149"/>
      <c r="CR77" s="149"/>
      <c r="CS77" s="149"/>
      <c r="CT77" s="149"/>
      <c r="CU77" s="149"/>
      <c r="CV77" s="149"/>
      <c r="CW77" s="149"/>
    </row>
    <row r="78" spans="2:101">
      <c r="B78" t="s">
        <v>735</v>
      </c>
      <c r="C78" s="167">
        <v>0</v>
      </c>
      <c r="D78" s="167">
        <v>0</v>
      </c>
      <c r="E78" s="167">
        <v>0</v>
      </c>
      <c r="F78" s="167">
        <v>0</v>
      </c>
      <c r="G78" s="167">
        <v>0</v>
      </c>
      <c r="H78" s="167">
        <v>0</v>
      </c>
      <c r="I78" s="167">
        <v>0</v>
      </c>
      <c r="J78" s="167">
        <v>0</v>
      </c>
      <c r="K78" s="167">
        <v>0</v>
      </c>
      <c r="L78" s="169">
        <v>0</v>
      </c>
      <c r="M78" s="167">
        <v>0</v>
      </c>
      <c r="N78" s="167">
        <v>0</v>
      </c>
      <c r="O78" s="167">
        <v>0</v>
      </c>
      <c r="P78" s="167">
        <v>0</v>
      </c>
      <c r="Q78" s="167">
        <v>0</v>
      </c>
      <c r="R78" s="167">
        <v>0</v>
      </c>
      <c r="S78" s="167">
        <v>0</v>
      </c>
      <c r="T78" s="167">
        <v>0</v>
      </c>
      <c r="U78" s="167">
        <v>0</v>
      </c>
      <c r="V78" s="167">
        <v>0</v>
      </c>
      <c r="W78" s="167">
        <v>0</v>
      </c>
      <c r="X78" s="167">
        <v>0</v>
      </c>
      <c r="Y78" s="167">
        <v>0</v>
      </c>
      <c r="Z78" s="167"/>
      <c r="AA78" s="167">
        <v>0</v>
      </c>
      <c r="AB78" s="167">
        <v>0</v>
      </c>
      <c r="AC78" s="167">
        <v>0</v>
      </c>
      <c r="AD78" s="167">
        <v>0</v>
      </c>
      <c r="AE78" s="167">
        <v>0</v>
      </c>
      <c r="AF78" s="167">
        <v>0</v>
      </c>
      <c r="AG78" s="167">
        <v>0</v>
      </c>
      <c r="AH78" s="167">
        <v>0</v>
      </c>
      <c r="AI78" s="167">
        <v>0</v>
      </c>
      <c r="AJ78" s="167">
        <v>0</v>
      </c>
      <c r="AK78" s="167">
        <v>0</v>
      </c>
      <c r="AL78" s="167">
        <v>0</v>
      </c>
      <c r="AM78" s="149"/>
      <c r="AN78" s="149"/>
      <c r="AO78" s="149"/>
      <c r="AP78" s="149"/>
      <c r="AQ78" s="149"/>
      <c r="AR78" s="149"/>
      <c r="AS78" s="149"/>
      <c r="AT78" s="149"/>
      <c r="AU78" s="149"/>
      <c r="AV78" s="149"/>
      <c r="AW78" s="149"/>
      <c r="AX78" s="149"/>
      <c r="AY78" s="149"/>
      <c r="AZ78" s="149"/>
      <c r="BA78" s="149"/>
      <c r="BB78" s="149"/>
      <c r="BC78" s="149"/>
      <c r="BD78" s="149"/>
      <c r="BE78" s="149"/>
      <c r="BF78" s="149"/>
      <c r="BG78" s="149"/>
      <c r="BH78" s="149"/>
      <c r="BI78" s="149"/>
      <c r="BJ78" s="149"/>
      <c r="BK78" s="149"/>
      <c r="BL78" s="149"/>
      <c r="BM78" s="149"/>
      <c r="BN78" s="149"/>
      <c r="BO78" s="149"/>
      <c r="BP78" s="149"/>
      <c r="BQ78" s="149"/>
      <c r="BR78" s="149"/>
      <c r="BS78" s="149"/>
      <c r="BT78" s="149"/>
      <c r="BU78" s="149"/>
      <c r="BV78" s="149"/>
      <c r="BW78" s="149"/>
      <c r="BX78" s="149"/>
      <c r="BY78" s="149"/>
      <c r="BZ78" s="149"/>
      <c r="CA78" s="149"/>
      <c r="CB78" s="149"/>
      <c r="CC78" s="149"/>
      <c r="CD78" s="149"/>
      <c r="CE78" s="149"/>
      <c r="CF78" s="149"/>
      <c r="CG78" s="149"/>
      <c r="CH78" s="149"/>
      <c r="CI78" s="149"/>
      <c r="CJ78" s="149"/>
      <c r="CK78" s="149"/>
      <c r="CL78" s="149"/>
      <c r="CM78" s="149"/>
      <c r="CN78" s="149"/>
      <c r="CO78" s="149"/>
      <c r="CP78" s="149"/>
      <c r="CQ78" s="149"/>
      <c r="CR78" s="149"/>
      <c r="CS78" s="149"/>
      <c r="CT78" s="149"/>
      <c r="CU78" s="149"/>
      <c r="CV78" s="149"/>
      <c r="CW78" s="149"/>
    </row>
    <row r="79" spans="2:101">
      <c r="B79" t="s">
        <v>736</v>
      </c>
      <c r="C79" s="149">
        <v>-1.2124345256655047</v>
      </c>
      <c r="D79" s="149">
        <v>6.6278200161046463E-2</v>
      </c>
      <c r="E79" s="149">
        <v>1.3255640032209293E-2</v>
      </c>
      <c r="F79" s="149">
        <v>7.9533840193255753E-2</v>
      </c>
      <c r="G79" s="149">
        <v>-3.315205682037516</v>
      </c>
      <c r="H79" s="149">
        <v>-0.77736376130856188</v>
      </c>
      <c r="I79" s="149">
        <v>-574.64252736492563</v>
      </c>
      <c r="J79" s="149">
        <v>9999</v>
      </c>
      <c r="K79" s="149">
        <v>9999</v>
      </c>
      <c r="L79" s="156">
        <v>3.4688575512396289</v>
      </c>
      <c r="M79" s="149">
        <v>-1.011161354908208E-2</v>
      </c>
      <c r="N79" s="165">
        <v>-8.6748203599924453E-2</v>
      </c>
      <c r="O79" s="165">
        <v>-6.8995585525318218E-2</v>
      </c>
      <c r="P79" s="165">
        <v>-6.9707524391696127E-2</v>
      </c>
      <c r="Q79" s="165">
        <v>-5.6851607995710554E-2</v>
      </c>
      <c r="R79" s="165">
        <v>-5.1768522581472284E-2</v>
      </c>
      <c r="S79" s="165">
        <v>-5.3193283517133788E-2</v>
      </c>
      <c r="T79" s="165">
        <v>-4.3899906281915313E-2</v>
      </c>
      <c r="U79" s="165">
        <v>-5.0074491770439176E-2</v>
      </c>
      <c r="V79" s="165">
        <v>-5.5139579172283071E-2</v>
      </c>
      <c r="W79" s="165">
        <v>-8.0471432029228185E-2</v>
      </c>
      <c r="X79" s="165">
        <v>-8.1233217728594556E-2</v>
      </c>
      <c r="Y79" s="165">
        <v>-8.9177995820068606E-2</v>
      </c>
      <c r="Z79" s="165"/>
      <c r="AA79" s="165">
        <v>-4.5255028325409272E-2</v>
      </c>
      <c r="AB79" s="165">
        <v>-3.478063548835629E-2</v>
      </c>
      <c r="AC79" s="165">
        <v>-3.2416778828706659E-2</v>
      </c>
      <c r="AD79" s="165">
        <v>-3.1799266550142001E-2</v>
      </c>
      <c r="AE79" s="165">
        <v>-3.0895588022903871E-2</v>
      </c>
      <c r="AF79" s="165">
        <v>-2.8892807826915314E-2</v>
      </c>
      <c r="AG79" s="165">
        <v>-3.2961070882752824E-2</v>
      </c>
      <c r="AH79" s="165">
        <v>-2.9818142447657514E-2</v>
      </c>
      <c r="AI79" s="165">
        <v>-3.4561088776930773E-2</v>
      </c>
      <c r="AJ79" s="165">
        <v>-3.4358445753413368E-2</v>
      </c>
      <c r="AK79" s="165">
        <v>-4.3272200973231451E-2</v>
      </c>
      <c r="AL79" s="165">
        <v>-4.6162121375300839E-2</v>
      </c>
      <c r="AM79" s="149"/>
      <c r="AN79" s="149"/>
      <c r="AO79" s="149"/>
      <c r="AP79" s="149"/>
      <c r="AQ79" s="149"/>
      <c r="AR79" s="149"/>
      <c r="AS79" s="149"/>
      <c r="AT79" s="149"/>
      <c r="AU79" s="149"/>
      <c r="AV79" s="149"/>
      <c r="AW79" s="149"/>
      <c r="AX79" s="149"/>
      <c r="AY79" s="149"/>
      <c r="AZ79" s="149"/>
      <c r="BA79" s="149"/>
      <c r="BB79" s="149"/>
      <c r="BC79" s="149"/>
      <c r="BD79" s="149"/>
      <c r="BE79" s="149"/>
      <c r="BF79" s="149"/>
      <c r="BG79" s="149"/>
      <c r="BH79" s="149"/>
      <c r="BI79" s="149"/>
      <c r="BJ79" s="149"/>
      <c r="BK79" s="149"/>
      <c r="BL79" s="149"/>
      <c r="BM79" s="149"/>
      <c r="BN79" s="149"/>
      <c r="BO79" s="149"/>
      <c r="BP79" s="149"/>
      <c r="BQ79" s="149"/>
      <c r="BR79" s="149"/>
      <c r="BS79" s="149"/>
      <c r="BT79" s="149"/>
      <c r="BU79" s="149"/>
      <c r="BV79" s="149"/>
      <c r="BW79" s="149"/>
      <c r="BX79" s="149"/>
      <c r="BY79" s="149"/>
      <c r="BZ79" s="149"/>
      <c r="CA79" s="149"/>
      <c r="CB79" s="149"/>
      <c r="CC79" s="149"/>
      <c r="CD79" s="149"/>
      <c r="CE79" s="149"/>
      <c r="CF79" s="149"/>
      <c r="CG79" s="149"/>
      <c r="CH79" s="149"/>
      <c r="CI79" s="149"/>
      <c r="CJ79" s="149"/>
      <c r="CK79" s="149"/>
      <c r="CL79" s="149"/>
      <c r="CM79" s="149"/>
      <c r="CN79" s="149"/>
      <c r="CO79" s="149"/>
      <c r="CP79" s="149"/>
      <c r="CQ79" s="149"/>
      <c r="CR79" s="149"/>
      <c r="CS79" s="149"/>
      <c r="CT79" s="149"/>
      <c r="CU79" s="149"/>
      <c r="CV79" s="149"/>
      <c r="CW79" s="149"/>
    </row>
    <row r="80" spans="2:101">
      <c r="C80" s="149"/>
      <c r="D80" s="149"/>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49"/>
      <c r="AH80" s="149"/>
      <c r="AI80" s="149"/>
      <c r="AJ80" s="149"/>
      <c r="AK80" s="149"/>
      <c r="AL80" s="149"/>
      <c r="AM80" s="149"/>
      <c r="AN80" s="149"/>
      <c r="AO80" s="149"/>
      <c r="AP80" s="149"/>
      <c r="AQ80" s="149"/>
      <c r="AR80" s="149"/>
      <c r="AS80" s="149"/>
      <c r="AT80" s="149"/>
      <c r="AU80" s="149"/>
      <c r="AV80" s="149"/>
      <c r="AW80" s="149"/>
      <c r="AX80" s="149"/>
      <c r="AY80" s="149"/>
      <c r="AZ80" s="149"/>
      <c r="BA80" s="149"/>
      <c r="BB80" s="149"/>
      <c r="BC80" s="149"/>
      <c r="BD80" s="149"/>
      <c r="BE80" s="149"/>
      <c r="BF80" s="149"/>
      <c r="BG80" s="149"/>
      <c r="BH80" s="149"/>
      <c r="BI80" s="149"/>
      <c r="BJ80" s="149"/>
      <c r="BK80" s="149"/>
      <c r="BL80" s="149"/>
      <c r="BM80" s="149"/>
      <c r="BN80" s="149"/>
      <c r="BO80" s="149"/>
      <c r="BP80" s="149"/>
      <c r="BQ80" s="149"/>
      <c r="BR80" s="149"/>
      <c r="BS80" s="149"/>
      <c r="BT80" s="149"/>
      <c r="BU80" s="149"/>
      <c r="BV80" s="149"/>
      <c r="BW80" s="149"/>
      <c r="BX80" s="149"/>
      <c r="BY80" s="149"/>
      <c r="BZ80" s="149"/>
      <c r="CA80" s="149"/>
      <c r="CB80" s="149"/>
      <c r="CC80" s="149"/>
      <c r="CD80" s="149"/>
      <c r="CE80" s="149"/>
      <c r="CF80" s="149"/>
      <c r="CG80" s="149"/>
      <c r="CH80" s="149"/>
      <c r="CI80" s="149"/>
      <c r="CJ80" s="149"/>
      <c r="CK80" s="149"/>
      <c r="CL80" s="149"/>
      <c r="CM80" s="149"/>
      <c r="CN80" s="149"/>
      <c r="CO80" s="149"/>
      <c r="CP80" s="149"/>
      <c r="CQ80" s="149"/>
      <c r="CR80" s="149"/>
      <c r="CS80" s="149"/>
      <c r="CT80" s="149"/>
      <c r="CU80" s="149"/>
      <c r="CV80" s="149"/>
      <c r="CW80" s="149"/>
    </row>
    <row r="81" spans="1:101">
      <c r="C81" s="149"/>
      <c r="D81" s="149"/>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49"/>
      <c r="AH81" s="149"/>
      <c r="AI81" s="149"/>
      <c r="AJ81" s="149"/>
      <c r="AK81" s="149"/>
      <c r="AL81" s="149"/>
      <c r="AM81" s="149"/>
      <c r="AN81" s="149"/>
      <c r="AO81" s="149"/>
      <c r="AP81" s="149"/>
      <c r="AQ81" s="149"/>
      <c r="AR81" s="149"/>
      <c r="AS81" s="149"/>
      <c r="AT81" s="149"/>
      <c r="AU81" s="149"/>
      <c r="AV81" s="149"/>
      <c r="AW81" s="149"/>
      <c r="AX81" s="149"/>
      <c r="AY81" s="149"/>
      <c r="AZ81" s="149"/>
      <c r="BA81" s="149"/>
      <c r="BB81" s="149"/>
      <c r="BC81" s="149"/>
      <c r="BD81" s="149"/>
      <c r="BE81" s="149"/>
      <c r="BF81" s="149"/>
      <c r="BG81" s="149"/>
      <c r="BH81" s="149"/>
      <c r="BI81" s="149"/>
      <c r="BJ81" s="149"/>
      <c r="BK81" s="149"/>
      <c r="BL81" s="149"/>
      <c r="BM81" s="149"/>
      <c r="BN81" s="149"/>
      <c r="BO81" s="149"/>
      <c r="BP81" s="149"/>
      <c r="BQ81" s="149"/>
      <c r="BR81" s="149"/>
      <c r="BS81" s="149"/>
      <c r="BT81" s="149"/>
      <c r="BU81" s="149"/>
      <c r="BV81" s="149"/>
      <c r="BW81" s="149"/>
      <c r="BX81" s="149"/>
      <c r="BY81" s="149"/>
      <c r="BZ81" s="149"/>
      <c r="CA81" s="149"/>
      <c r="CB81" s="149"/>
      <c r="CC81" s="149"/>
      <c r="CD81" s="149"/>
      <c r="CE81" s="149"/>
      <c r="CF81" s="149"/>
      <c r="CG81" s="149"/>
      <c r="CH81" s="149"/>
      <c r="CI81" s="149"/>
      <c r="CJ81" s="149"/>
      <c r="CK81" s="149"/>
      <c r="CL81" s="149"/>
      <c r="CM81" s="149"/>
      <c r="CN81" s="149"/>
      <c r="CO81" s="149"/>
      <c r="CP81" s="149"/>
      <c r="CQ81" s="149"/>
      <c r="CR81" s="149"/>
      <c r="CS81" s="149"/>
      <c r="CT81" s="149"/>
      <c r="CU81" s="149"/>
      <c r="CV81" s="149"/>
      <c r="CW81" s="149"/>
    </row>
    <row r="82" spans="1:101" ht="13.5" thickBot="1">
      <c r="A82" s="135" t="s">
        <v>737</v>
      </c>
      <c r="B82" s="134"/>
      <c r="C82" s="149"/>
      <c r="D82" s="149"/>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49"/>
      <c r="AH82" s="149"/>
      <c r="AI82" s="149"/>
      <c r="AJ82" s="149"/>
      <c r="AK82" s="149"/>
      <c r="AL82" s="149"/>
      <c r="AM82" s="149"/>
      <c r="AN82" s="149"/>
      <c r="AO82" s="149"/>
      <c r="AP82" s="149"/>
      <c r="AQ82" s="149"/>
      <c r="AR82" s="149"/>
      <c r="AS82" s="149"/>
      <c r="AT82" s="149"/>
      <c r="AU82" s="149"/>
      <c r="AV82" s="149"/>
      <c r="AW82" s="149"/>
      <c r="AX82" s="149"/>
      <c r="AY82" s="149"/>
      <c r="AZ82" s="149"/>
      <c r="BA82" s="149"/>
      <c r="BB82" s="149"/>
      <c r="BC82" s="149"/>
      <c r="BD82" s="149"/>
      <c r="BE82" s="149"/>
      <c r="BF82" s="149"/>
      <c r="BG82" s="149"/>
      <c r="BH82" s="149"/>
      <c r="BI82" s="149"/>
      <c r="BJ82" s="149"/>
      <c r="BK82" s="149"/>
      <c r="BL82" s="149"/>
      <c r="BM82" s="149"/>
      <c r="BN82" s="149"/>
      <c r="BO82" s="149"/>
      <c r="BP82" s="149"/>
      <c r="BQ82" s="149"/>
      <c r="BR82" s="149"/>
      <c r="BS82" s="149"/>
      <c r="BT82" s="149"/>
      <c r="BU82" s="149"/>
      <c r="BV82" s="149"/>
      <c r="BW82" s="149"/>
      <c r="BX82" s="149"/>
      <c r="BY82" s="149"/>
      <c r="BZ82" s="149"/>
      <c r="CA82" s="149"/>
      <c r="CB82" s="149"/>
      <c r="CC82" s="149"/>
      <c r="CD82" s="149"/>
      <c r="CE82" s="149"/>
      <c r="CF82" s="149"/>
      <c r="CG82" s="149"/>
      <c r="CH82" s="149"/>
      <c r="CI82" s="149"/>
      <c r="CJ82" s="149"/>
      <c r="CK82" s="149"/>
      <c r="CL82" s="149"/>
      <c r="CM82" s="149"/>
      <c r="CN82" s="149"/>
      <c r="CO82" s="149"/>
      <c r="CP82" s="149"/>
      <c r="CQ82" s="149"/>
      <c r="CR82" s="149"/>
      <c r="CS82" s="149"/>
      <c r="CT82" s="149"/>
      <c r="CU82" s="149"/>
      <c r="CV82" s="149"/>
      <c r="CW82" s="149"/>
    </row>
    <row r="83" spans="1:101" ht="13.5" thickBot="1">
      <c r="A83" s="170"/>
      <c r="B83" s="171"/>
      <c r="C83" s="159"/>
      <c r="D83" s="159"/>
      <c r="E83" s="159"/>
      <c r="F83" s="159"/>
      <c r="G83" s="159"/>
      <c r="H83" s="159"/>
      <c r="I83" s="159"/>
      <c r="J83" s="159"/>
      <c r="K83" s="159"/>
      <c r="L83" s="159"/>
      <c r="M83" s="159"/>
      <c r="N83" s="159"/>
      <c r="O83" s="172" t="s">
        <v>910</v>
      </c>
      <c r="P83" s="173"/>
      <c r="Q83" s="173"/>
      <c r="R83" s="173"/>
      <c r="S83" s="173"/>
      <c r="T83" s="173"/>
      <c r="U83" s="173"/>
      <c r="V83" s="173"/>
      <c r="W83" s="173"/>
      <c r="X83" s="173"/>
      <c r="Y83" s="173"/>
      <c r="Z83" s="163"/>
      <c r="AA83" s="159"/>
      <c r="AB83" s="172" t="s">
        <v>911</v>
      </c>
      <c r="AC83" s="173"/>
      <c r="AD83" s="173"/>
      <c r="AE83" s="173"/>
      <c r="AF83" s="173"/>
      <c r="AG83" s="173"/>
      <c r="AH83" s="173"/>
      <c r="AI83" s="173"/>
      <c r="AJ83" s="173"/>
      <c r="AK83" s="173"/>
      <c r="AL83" s="173"/>
      <c r="AM83" s="163"/>
      <c r="AN83" s="149"/>
      <c r="AO83" s="149"/>
      <c r="AP83" s="149"/>
      <c r="AQ83" s="149"/>
      <c r="AR83" s="149"/>
      <c r="AS83" s="149"/>
      <c r="AT83" s="149"/>
      <c r="AU83" s="149"/>
      <c r="AV83" s="149"/>
      <c r="AW83" s="149"/>
      <c r="AX83" s="149"/>
      <c r="AY83" s="149"/>
      <c r="AZ83" s="149"/>
      <c r="BA83" s="149"/>
      <c r="BB83" s="149"/>
      <c r="BC83" s="149"/>
      <c r="BD83" s="149"/>
      <c r="BE83" s="149"/>
      <c r="BF83" s="149"/>
      <c r="BG83" s="149"/>
      <c r="BH83" s="149"/>
      <c r="BI83" s="149"/>
      <c r="BJ83" s="149"/>
      <c r="BK83" s="149"/>
      <c r="BL83" s="149"/>
      <c r="BM83" s="149"/>
      <c r="BN83" s="149"/>
      <c r="BO83" s="149"/>
      <c r="BP83" s="149"/>
      <c r="BQ83" s="149"/>
      <c r="BR83" s="149"/>
      <c r="BS83" s="149"/>
      <c r="BT83" s="149"/>
      <c r="BU83" s="149"/>
      <c r="BV83" s="149"/>
      <c r="BW83" s="149"/>
      <c r="BX83" s="149"/>
      <c r="BY83" s="149"/>
      <c r="BZ83" s="149"/>
      <c r="CA83" s="149"/>
      <c r="CB83" s="149"/>
      <c r="CC83" s="149"/>
      <c r="CD83" s="149"/>
      <c r="CE83" s="149"/>
      <c r="CF83" s="149"/>
      <c r="CG83" s="149"/>
      <c r="CH83" s="149"/>
      <c r="CI83" s="149"/>
      <c r="CJ83" s="149"/>
      <c r="CK83" s="149"/>
      <c r="CL83" s="149"/>
      <c r="CM83" s="149"/>
      <c r="CN83" s="149"/>
      <c r="CO83" s="149"/>
      <c r="CP83" s="149"/>
      <c r="CQ83" s="149"/>
      <c r="CR83" s="149"/>
      <c r="CS83" s="149"/>
      <c r="CT83" s="149"/>
      <c r="CU83" s="149"/>
      <c r="CV83" s="149"/>
      <c r="CW83" s="149"/>
    </row>
    <row r="84" spans="1:101" ht="102">
      <c r="A84" s="148" t="s">
        <v>67</v>
      </c>
      <c r="B84" s="147" t="s">
        <v>139</v>
      </c>
      <c r="C84" s="154" t="s">
        <v>738</v>
      </c>
      <c r="D84" s="154" t="s">
        <v>692</v>
      </c>
      <c r="E84" s="154" t="s">
        <v>693</v>
      </c>
      <c r="F84" s="154" t="s">
        <v>694</v>
      </c>
      <c r="G84" s="154" t="s">
        <v>695</v>
      </c>
      <c r="H84" s="154" t="s">
        <v>696</v>
      </c>
      <c r="I84" s="154" t="s">
        <v>697</v>
      </c>
      <c r="J84" s="154" t="s">
        <v>698</v>
      </c>
      <c r="K84" s="154" t="s">
        <v>673</v>
      </c>
      <c r="L84" s="154" t="s">
        <v>672</v>
      </c>
      <c r="M84" s="154" t="s">
        <v>699</v>
      </c>
      <c r="N84" s="154" t="s">
        <v>912</v>
      </c>
      <c r="O84" s="154" t="s">
        <v>700</v>
      </c>
      <c r="P84" s="154" t="s">
        <v>701</v>
      </c>
      <c r="Q84" s="154" t="s">
        <v>702</v>
      </c>
      <c r="R84" s="154" t="s">
        <v>703</v>
      </c>
      <c r="S84" s="154" t="s">
        <v>704</v>
      </c>
      <c r="T84" s="154" t="s">
        <v>705</v>
      </c>
      <c r="U84" s="154" t="s">
        <v>706</v>
      </c>
      <c r="V84" s="154" t="s">
        <v>707</v>
      </c>
      <c r="W84" s="154" t="s">
        <v>708</v>
      </c>
      <c r="X84" s="154" t="s">
        <v>709</v>
      </c>
      <c r="Y84" s="154" t="s">
        <v>710</v>
      </c>
      <c r="Z84" s="154" t="s">
        <v>711</v>
      </c>
      <c r="AA84" s="154"/>
      <c r="AB84" s="154" t="s">
        <v>700</v>
      </c>
      <c r="AC84" s="154" t="s">
        <v>701</v>
      </c>
      <c r="AD84" s="154" t="s">
        <v>702</v>
      </c>
      <c r="AE84" s="154" t="s">
        <v>703</v>
      </c>
      <c r="AF84" s="154" t="s">
        <v>704</v>
      </c>
      <c r="AG84" s="154" t="s">
        <v>705</v>
      </c>
      <c r="AH84" s="154" t="s">
        <v>706</v>
      </c>
      <c r="AI84" s="154" t="s">
        <v>707</v>
      </c>
      <c r="AJ84" s="154" t="s">
        <v>708</v>
      </c>
      <c r="AK84" s="154" t="s">
        <v>709</v>
      </c>
      <c r="AL84" s="154" t="s">
        <v>710</v>
      </c>
      <c r="AM84" s="154" t="s">
        <v>711</v>
      </c>
      <c r="AN84" s="149"/>
      <c r="AO84" s="149"/>
      <c r="AP84" s="149"/>
      <c r="AQ84" s="149"/>
      <c r="AR84" s="149"/>
      <c r="AS84" s="149"/>
      <c r="AT84" s="149"/>
      <c r="AU84" s="149"/>
      <c r="AV84" s="149"/>
      <c r="AW84" s="149"/>
      <c r="AX84" s="149"/>
      <c r="AY84" s="149"/>
      <c r="AZ84" s="149"/>
      <c r="BA84" s="149"/>
      <c r="BB84" s="149"/>
      <c r="BC84" s="149"/>
      <c r="BD84" s="149"/>
      <c r="BE84" s="149"/>
      <c r="BF84" s="149"/>
      <c r="BG84" s="149"/>
      <c r="BH84" s="149"/>
      <c r="BI84" s="149"/>
      <c r="BJ84" s="149"/>
      <c r="BK84" s="149"/>
      <c r="BL84" s="149"/>
      <c r="BM84" s="149"/>
      <c r="BN84" s="149"/>
      <c r="BO84" s="149"/>
      <c r="BP84" s="149"/>
      <c r="BQ84" s="149"/>
      <c r="BR84" s="149"/>
      <c r="BS84" s="149"/>
      <c r="BT84" s="149"/>
      <c r="BU84" s="149"/>
      <c r="BV84" s="149"/>
      <c r="BW84" s="149"/>
      <c r="BX84" s="149"/>
      <c r="BY84" s="149"/>
      <c r="BZ84" s="149"/>
      <c r="CA84" s="149"/>
      <c r="CB84" s="149"/>
      <c r="CC84" s="149"/>
      <c r="CD84" s="149"/>
      <c r="CE84" s="149"/>
      <c r="CF84" s="149"/>
      <c r="CG84" s="149"/>
      <c r="CH84" s="149"/>
      <c r="CI84" s="149"/>
      <c r="CJ84" s="149"/>
      <c r="CK84" s="149"/>
      <c r="CL84" s="149"/>
      <c r="CM84" s="149"/>
      <c r="CN84" s="149"/>
      <c r="CO84" s="149"/>
      <c r="CP84" s="149"/>
      <c r="CQ84" s="149"/>
      <c r="CR84" s="149"/>
      <c r="CS84" s="149"/>
      <c r="CT84" s="149"/>
      <c r="CU84" s="149"/>
      <c r="CV84" s="149"/>
      <c r="CW84" s="149"/>
    </row>
    <row r="85" spans="1:101">
      <c r="A85" t="s">
        <v>903</v>
      </c>
      <c r="C85" s="165">
        <v>10.945904277975469</v>
      </c>
      <c r="D85" s="165">
        <v>0.05</v>
      </c>
      <c r="E85" s="165">
        <v>1.0000000000000002E-2</v>
      </c>
      <c r="F85" s="165">
        <v>6.0000000000000005E-2</v>
      </c>
      <c r="G85" s="165">
        <v>-9.4217973700755486</v>
      </c>
      <c r="H85" s="165">
        <v>6.9927781391337085</v>
      </c>
      <c r="I85" s="165">
        <v>48.017960567915168</v>
      </c>
      <c r="J85" s="165">
        <v>-14.543558853153584</v>
      </c>
      <c r="K85" s="165">
        <v>-72.33729952335888</v>
      </c>
      <c r="L85" s="156">
        <v>17.841486992360295</v>
      </c>
      <c r="M85" s="165">
        <v>9.0906688898597293E-2</v>
      </c>
      <c r="N85" s="165">
        <v>2.8595977668409698E-3</v>
      </c>
      <c r="O85" s="165">
        <v>0.78316602900259658</v>
      </c>
      <c r="P85" s="165">
        <v>0.62289472856149797</v>
      </c>
      <c r="Q85" s="165">
        <v>0.6293221392943501</v>
      </c>
      <c r="R85" s="165">
        <v>0.5132584448867098</v>
      </c>
      <c r="S85" s="165">
        <v>0.46736815951193028</v>
      </c>
      <c r="T85" s="165">
        <v>0.48023095456652459</v>
      </c>
      <c r="U85" s="165">
        <v>0.39632999704473071</v>
      </c>
      <c r="V85" s="165">
        <v>0.45207438594396671</v>
      </c>
      <c r="W85" s="165">
        <v>0.49780218458920139</v>
      </c>
      <c r="X85" s="165">
        <v>0.72649910032878062</v>
      </c>
      <c r="Y85" s="165">
        <v>0.73337653013557191</v>
      </c>
      <c r="Z85" s="165">
        <v>0.80510228411086204</v>
      </c>
      <c r="AA85" s="165"/>
      <c r="AB85" s="165">
        <v>0.40856408957431911</v>
      </c>
      <c r="AC85" s="165">
        <v>0.31400087899487644</v>
      </c>
      <c r="AD85" s="165">
        <v>0.29265989259466058</v>
      </c>
      <c r="AE85" s="165">
        <v>0.28708496863088351</v>
      </c>
      <c r="AF85" s="165">
        <v>0.2789265250631528</v>
      </c>
      <c r="AG85" s="165">
        <v>0.26084535049161656</v>
      </c>
      <c r="AH85" s="165">
        <v>0.29757378163092152</v>
      </c>
      <c r="AI85" s="165">
        <v>0.26919930608206899</v>
      </c>
      <c r="AJ85" s="165">
        <v>0.31201880306670299</v>
      </c>
      <c r="AK85" s="165">
        <v>0.31018933426565282</v>
      </c>
      <c r="AL85" s="165">
        <v>0.39066305002352214</v>
      </c>
      <c r="AM85" s="149">
        <v>0.41675335958036747</v>
      </c>
      <c r="AN85" s="149"/>
      <c r="AO85" s="149"/>
      <c r="AP85" s="149"/>
      <c r="AQ85" s="149"/>
      <c r="AR85" s="149"/>
      <c r="AS85" s="149"/>
      <c r="AT85" s="149"/>
      <c r="AU85" s="149"/>
      <c r="AV85" s="149"/>
      <c r="AW85" s="149"/>
      <c r="AX85" s="149"/>
      <c r="AY85" s="149"/>
      <c r="AZ85" s="149"/>
      <c r="BA85" s="149"/>
      <c r="BB85" s="149"/>
      <c r="BC85" s="149"/>
      <c r="BD85" s="149"/>
      <c r="BE85" s="149"/>
      <c r="BF85" s="149"/>
      <c r="BG85" s="149"/>
      <c r="BH85" s="149"/>
      <c r="BI85" s="149"/>
      <c r="BJ85" s="149"/>
      <c r="BK85" s="149"/>
      <c r="BL85" s="149"/>
      <c r="BM85" s="149"/>
      <c r="BN85" s="149"/>
      <c r="BO85" s="149"/>
      <c r="BP85" s="149"/>
      <c r="BQ85" s="149"/>
      <c r="BR85" s="149"/>
      <c r="BS85" s="149"/>
      <c r="BT85" s="149"/>
      <c r="BU85" s="149"/>
      <c r="BV85" s="149"/>
      <c r="BW85" s="149"/>
      <c r="BX85" s="149"/>
      <c r="BY85" s="149"/>
      <c r="BZ85" s="149"/>
      <c r="CA85" s="149"/>
      <c r="CB85" s="149"/>
      <c r="CC85" s="149"/>
      <c r="CD85" s="149"/>
      <c r="CE85" s="149"/>
      <c r="CF85" s="149"/>
      <c r="CG85" s="149"/>
      <c r="CH85" s="149"/>
      <c r="CI85" s="149"/>
      <c r="CJ85" s="149"/>
      <c r="CK85" s="149"/>
      <c r="CL85" s="149"/>
      <c r="CM85" s="149"/>
      <c r="CN85" s="149"/>
      <c r="CO85" s="149"/>
      <c r="CP85" s="149"/>
      <c r="CQ85" s="149"/>
      <c r="CR85" s="149"/>
      <c r="CS85" s="149"/>
      <c r="CT85" s="149"/>
      <c r="CU85" s="149"/>
      <c r="CV85" s="149"/>
      <c r="CW85" s="149"/>
    </row>
    <row r="86" spans="1:101">
      <c r="A86" t="s">
        <v>905</v>
      </c>
      <c r="C86" s="165">
        <v>4.2972366607268073</v>
      </c>
      <c r="D86" s="165">
        <v>0.05</v>
      </c>
      <c r="E86" s="165">
        <v>1.0000000000000002E-2</v>
      </c>
      <c r="F86" s="165">
        <v>6.0000000000000005E-2</v>
      </c>
      <c r="G86" s="165">
        <v>-2.5807318634071548</v>
      </c>
      <c r="H86" s="165">
        <v>2.7498252697767298</v>
      </c>
      <c r="I86" s="165">
        <v>122.31115982127533</v>
      </c>
      <c r="J86" s="165">
        <v>-14.096209263213639</v>
      </c>
      <c r="K86" s="165">
        <v>-53.268788547414012</v>
      </c>
      <c r="L86" s="156">
        <v>12.863737641064043</v>
      </c>
      <c r="M86" s="165">
        <v>3.5757388817793549E-2</v>
      </c>
      <c r="N86" s="165">
        <v>1.1226453334995136E-3</v>
      </c>
      <c r="O86" s="165">
        <v>0.30746201371754167</v>
      </c>
      <c r="P86" s="165">
        <v>0.24454133668369918</v>
      </c>
      <c r="Q86" s="165">
        <v>0.24706466452700365</v>
      </c>
      <c r="R86" s="165">
        <v>0.20149938733090586</v>
      </c>
      <c r="S86" s="165">
        <v>0.18348338685477239</v>
      </c>
      <c r="T86" s="165">
        <v>0.18853317288106144</v>
      </c>
      <c r="U86" s="165">
        <v>0.15559461784014159</v>
      </c>
      <c r="V86" s="165">
        <v>0.17747922650510201</v>
      </c>
      <c r="W86" s="165">
        <v>0.1954314365521079</v>
      </c>
      <c r="X86" s="165">
        <v>0.2852152265025385</v>
      </c>
      <c r="Y86" s="165">
        <v>0.2879152266803936</v>
      </c>
      <c r="Z86" s="165">
        <v>0.31607393624640645</v>
      </c>
      <c r="AA86" s="165"/>
      <c r="AB86" s="165">
        <v>0.16039758245537711</v>
      </c>
      <c r="AC86" s="165">
        <v>0.12327314897429335</v>
      </c>
      <c r="AD86" s="165">
        <v>0.11489492212284845</v>
      </c>
      <c r="AE86" s="165">
        <v>0.11270627082191288</v>
      </c>
      <c r="AF86" s="165">
        <v>0.10950335931242107</v>
      </c>
      <c r="AG86" s="165">
        <v>0.10240489725167137</v>
      </c>
      <c r="AH86" s="165">
        <v>0.11682405868179428</v>
      </c>
      <c r="AI86" s="165">
        <v>0.10568456454216731</v>
      </c>
      <c r="AJ86" s="165">
        <v>0.1224950086647687</v>
      </c>
      <c r="AK86" s="165">
        <v>0.12177678016560786</v>
      </c>
      <c r="AL86" s="165">
        <v>0.15336983934075951</v>
      </c>
      <c r="AM86" s="149">
        <v>0.16361259607151027</v>
      </c>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49"/>
      <c r="BR86" s="149"/>
      <c r="BS86" s="149"/>
      <c r="BT86" s="149"/>
      <c r="BU86" s="149"/>
      <c r="BV86" s="149"/>
      <c r="BW86" s="149"/>
      <c r="BX86" s="149"/>
      <c r="BY86" s="149"/>
      <c r="BZ86" s="149"/>
      <c r="CA86" s="149"/>
      <c r="CB86" s="149"/>
      <c r="CC86" s="149"/>
      <c r="CD86" s="149"/>
      <c r="CE86" s="149"/>
      <c r="CF86" s="149"/>
      <c r="CG86" s="149"/>
      <c r="CH86" s="149"/>
      <c r="CI86" s="149"/>
      <c r="CJ86" s="149"/>
      <c r="CK86" s="149"/>
      <c r="CL86" s="149"/>
      <c r="CM86" s="149"/>
      <c r="CN86" s="149"/>
      <c r="CO86" s="149"/>
      <c r="CP86" s="149"/>
      <c r="CQ86" s="149"/>
      <c r="CR86" s="149"/>
      <c r="CS86" s="149"/>
      <c r="CT86" s="149"/>
      <c r="CU86" s="149"/>
      <c r="CV86" s="149"/>
      <c r="CW86" s="149"/>
    </row>
    <row r="87" spans="1:101">
      <c r="A87" t="s">
        <v>907</v>
      </c>
      <c r="C87" s="165">
        <v>-1.2124345256655047</v>
      </c>
      <c r="D87" s="165">
        <v>6.6278200161046463E-2</v>
      </c>
      <c r="E87" s="165">
        <v>1.3255640032209293E-2</v>
      </c>
      <c r="F87" s="165">
        <v>7.9533840193255753E-2</v>
      </c>
      <c r="G87" s="165">
        <v>-3.315205682037516</v>
      </c>
      <c r="H87" s="165">
        <v>-0.77736376130856188</v>
      </c>
      <c r="I87" s="165">
        <v>-574.64252736492563</v>
      </c>
      <c r="J87" s="165">
        <v>9999</v>
      </c>
      <c r="K87" s="165">
        <v>9999</v>
      </c>
      <c r="L87" s="156">
        <v>3.4688575512396289</v>
      </c>
      <c r="M87" s="165">
        <v>-1.011161354908208E-2</v>
      </c>
      <c r="N87" s="165">
        <v>-3.1674633488346478E-4</v>
      </c>
      <c r="O87" s="165">
        <v>-8.6748203599924453E-2</v>
      </c>
      <c r="P87" s="165">
        <v>-6.8995585525318218E-2</v>
      </c>
      <c r="Q87" s="165">
        <v>-6.9707524391696127E-2</v>
      </c>
      <c r="R87" s="165">
        <v>-5.6851607995710554E-2</v>
      </c>
      <c r="S87" s="165">
        <v>-5.1768522581472284E-2</v>
      </c>
      <c r="T87" s="165">
        <v>-5.3193283517133788E-2</v>
      </c>
      <c r="U87" s="165">
        <v>-4.3899906281915313E-2</v>
      </c>
      <c r="V87" s="165">
        <v>-5.0074491770439176E-2</v>
      </c>
      <c r="W87" s="165">
        <v>-5.5139579172283071E-2</v>
      </c>
      <c r="X87" s="165">
        <v>-8.0471432029228185E-2</v>
      </c>
      <c r="Y87" s="165">
        <v>-8.1233217728594556E-2</v>
      </c>
      <c r="Z87" s="165">
        <v>-8.9177995820068606E-2</v>
      </c>
      <c r="AA87" s="165"/>
      <c r="AB87" s="165">
        <v>-4.5255028325409272E-2</v>
      </c>
      <c r="AC87" s="165">
        <v>-3.478063548835629E-2</v>
      </c>
      <c r="AD87" s="165">
        <v>-3.2416778828706659E-2</v>
      </c>
      <c r="AE87" s="165">
        <v>-3.1799266550142001E-2</v>
      </c>
      <c r="AF87" s="165">
        <v>-3.0895588022903871E-2</v>
      </c>
      <c r="AG87" s="165">
        <v>-2.8892807826915314E-2</v>
      </c>
      <c r="AH87" s="165">
        <v>-3.2961070882752824E-2</v>
      </c>
      <c r="AI87" s="165">
        <v>-2.9818142447657514E-2</v>
      </c>
      <c r="AJ87" s="165">
        <v>-3.4561088776930773E-2</v>
      </c>
      <c r="AK87" s="165">
        <v>-3.4358445753413368E-2</v>
      </c>
      <c r="AL87" s="165">
        <v>-4.3272200973231451E-2</v>
      </c>
      <c r="AM87" s="149">
        <v>-4.6162121375300839E-2</v>
      </c>
      <c r="AN87" s="149"/>
      <c r="AO87" s="149"/>
      <c r="AP87" s="149"/>
      <c r="AQ87" s="149"/>
      <c r="AR87" s="149"/>
      <c r="AS87" s="149"/>
      <c r="AT87" s="149"/>
      <c r="AU87" s="149"/>
      <c r="AV87" s="149"/>
      <c r="AW87" s="149"/>
      <c r="AX87" s="149"/>
      <c r="AY87" s="149"/>
      <c r="AZ87" s="149"/>
      <c r="BA87" s="149"/>
      <c r="BB87" s="149"/>
      <c r="BC87" s="149"/>
      <c r="BD87" s="149"/>
      <c r="BE87" s="149"/>
      <c r="BF87" s="149"/>
      <c r="BG87" s="149"/>
      <c r="BH87" s="149"/>
      <c r="BI87" s="149"/>
      <c r="BJ87" s="149"/>
      <c r="BK87" s="149"/>
      <c r="BL87" s="149"/>
      <c r="BM87" s="149"/>
      <c r="BN87" s="149"/>
      <c r="BO87" s="149"/>
      <c r="BP87" s="149"/>
      <c r="BQ87" s="149"/>
      <c r="BR87" s="149"/>
      <c r="BS87" s="149"/>
      <c r="BT87" s="149"/>
      <c r="BU87" s="149"/>
      <c r="BV87" s="149"/>
      <c r="BW87" s="149"/>
      <c r="BX87" s="149"/>
      <c r="BY87" s="149"/>
      <c r="BZ87" s="149"/>
      <c r="CA87" s="149"/>
      <c r="CB87" s="149"/>
      <c r="CC87" s="149"/>
      <c r="CD87" s="149"/>
      <c r="CE87" s="149"/>
      <c r="CF87" s="149"/>
      <c r="CG87" s="149"/>
      <c r="CH87" s="149"/>
      <c r="CI87" s="149"/>
      <c r="CJ87" s="149"/>
      <c r="CK87" s="149"/>
      <c r="CL87" s="149"/>
      <c r="CM87" s="149"/>
      <c r="CN87" s="149"/>
      <c r="CO87" s="149"/>
      <c r="CP87" s="149"/>
      <c r="CQ87" s="149"/>
      <c r="CR87" s="149"/>
      <c r="CS87" s="149"/>
      <c r="CT87" s="149"/>
      <c r="CU87" s="149"/>
      <c r="CV87" s="149"/>
      <c r="CW87" s="149"/>
    </row>
    <row r="88" spans="1:101">
      <c r="C88" s="149"/>
      <c r="D88" s="149"/>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row>
  </sheetData>
  <sortState ref="A84:AL87">
    <sortCondition descending="1" ref="L84"/>
  </sortState>
  <dataConsolidate/>
  <mergeCells count="3">
    <mergeCell ref="O6:P6"/>
    <mergeCell ref="I6:N6"/>
    <mergeCell ref="R6:T6"/>
  </mergeCells>
  <phoneticPr fontId="10" type="noConversion"/>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Summary</vt:lpstr>
      <vt:lpstr>MeasureTable</vt:lpstr>
      <vt:lpstr>7PSourceSummary</vt:lpstr>
      <vt:lpstr>RPM</vt:lpstr>
      <vt:lpstr>SC-NR</vt:lpstr>
      <vt:lpstr>Accomplishments</vt:lpstr>
      <vt:lpstr>Bulb Weighting</vt:lpstr>
      <vt:lpstr>M_Input_Out</vt:lpstr>
      <vt:lpstr>M_Input</vt:lpstr>
      <vt:lpstr>LookupTable</vt:lpstr>
      <vt:lpstr>SavingsData&amp;Analysis</vt:lpstr>
      <vt:lpstr>ValidationLists</vt:lpstr>
      <vt:lpstr>MeasureOutput</vt:lpstr>
    </vt:vector>
  </TitlesOfParts>
  <Company>Preferred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NWPCC ProCost</dc:title>
  <dc:creator>Council and RTF Staff and Contractors</dc:creator>
  <cp:lastModifiedBy>Tina Jayaweera</cp:lastModifiedBy>
  <cp:lastPrinted>2005-03-03T04:28:51Z</cp:lastPrinted>
  <dcterms:created xsi:type="dcterms:W3CDTF">1998-09-25T20:50:37Z</dcterms:created>
  <dcterms:modified xsi:type="dcterms:W3CDTF">2015-03-25T23:49:53Z</dcterms:modified>
</cp:coreProperties>
</file>